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30" activeTab="0"/>
  </bookViews>
  <sheets>
    <sheet name="Índice" sheetId="1" r:id="rId1"/>
    <sheet name="Generación por Mancomunidades" sheetId="2" r:id="rId2"/>
    <sheet name="Gestión por instalaciones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D982373</author>
  </authors>
  <commentList>
    <comment ref="L17" authorId="0">
      <text>
        <r>
          <rPr>
            <b/>
            <sz val="9"/>
            <rFont val="Tahoma"/>
            <family val="2"/>
          </rPr>
          <t>D982373:</t>
        </r>
        <r>
          <rPr>
            <sz val="9"/>
            <rFont val="Tahoma"/>
            <family val="2"/>
          </rPr>
          <t xml:space="preserve">
Habia un error de 20 toneladas</t>
        </r>
      </text>
    </comment>
  </commentList>
</comments>
</file>

<file path=xl/sharedStrings.xml><?xml version="1.0" encoding="utf-8"?>
<sst xmlns="http://schemas.openxmlformats.org/spreadsheetml/2006/main" count="208" uniqueCount="92">
  <si>
    <t>Operación</t>
  </si>
  <si>
    <t>Plan</t>
  </si>
  <si>
    <t>Programa</t>
  </si>
  <si>
    <t>Índice de tablas</t>
  </si>
  <si>
    <t>1. TABLA DE GENERACIÓN POR MANCOMUNIDADES</t>
  </si>
  <si>
    <t>2. TABLA DE GESTIÓN POR INSTALACIÓNES</t>
  </si>
  <si>
    <t xml:space="preserve">2200311 GESTIÓN DE RESIDUOS DENTRO DEL CONSORCIO PARA EL TRATAMIENTO DE LOS RESIDUOS URBANOS DE NAVARRA </t>
  </si>
  <si>
    <t>Ribera</t>
  </si>
  <si>
    <t>Ribera Alta</t>
  </si>
  <si>
    <t>Mairaga</t>
  </si>
  <si>
    <t>Sakana</t>
  </si>
  <si>
    <t>Valdizarbe</t>
  </si>
  <si>
    <t>Sangüesa</t>
  </si>
  <si>
    <t>Bortziriak</t>
  </si>
  <si>
    <t>Mendialdea</t>
  </si>
  <si>
    <t>Malerreka</t>
  </si>
  <si>
    <t>Irati</t>
  </si>
  <si>
    <t>Eska-Salazar</t>
  </si>
  <si>
    <t>Bidausi</t>
  </si>
  <si>
    <t>Alto Araxes</t>
  </si>
  <si>
    <t>Baztan</t>
  </si>
  <si>
    <t>Mancomunidad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</si>
  <si>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</si>
  <si>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</si>
  <si>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</si>
  <si>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</si>
  <si>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</si>
  <si>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</si>
  <si>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</si>
  <si>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</si>
  <si>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</si>
  <si>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</si>
  <si>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</si>
  <si>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</si>
  <si>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</si>
  <si>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Fracción orgánica y algunas podas</t>
  </si>
  <si>
    <t>Montejurra poda</t>
  </si>
  <si>
    <t>Valdizarbe poda</t>
  </si>
  <si>
    <t>Valdizarbe orgánica</t>
  </si>
  <si>
    <t>Total gestionado</t>
  </si>
  <si>
    <t>Total 2017</t>
  </si>
  <si>
    <t>Ribera (1)</t>
  </si>
  <si>
    <t>Ribera (recogida poligonos) (1)</t>
  </si>
  <si>
    <t>Ribera Alta (1)</t>
  </si>
  <si>
    <t>Ribera Alta (recogidas especiales: poligonos y contenedores de obra, rechazos planta envases) (1)</t>
  </si>
  <si>
    <t>Mairaga (recogida especial talleres)</t>
  </si>
  <si>
    <t>Sakana (poligonos)</t>
  </si>
  <si>
    <t>Baztán</t>
  </si>
  <si>
    <t xml:space="preserve">Total gestionado </t>
  </si>
  <si>
    <t>(1) Entradas a tratamiento, el resto son entradas en instalaciones de transporte</t>
  </si>
  <si>
    <t>Montejurra recogidas especiales (pretratamiento y prensado; voluminosos directos a vertedero y otras recogidas especiales) (1)</t>
  </si>
  <si>
    <t>Envases tratados en Peralta</t>
  </si>
  <si>
    <t>Mancomunidades</t>
  </si>
  <si>
    <t>Mairaga y Valdizarbe</t>
  </si>
  <si>
    <t>Alto Araxes, Mendialdea y Sakana</t>
  </si>
  <si>
    <t>Baztán, Bortziriak y Malerreka</t>
  </si>
  <si>
    <t>Bidausi, Eska-Salazar, Irati y Sangüesa</t>
  </si>
  <si>
    <t>Envases entradas a instalaciones de transporte</t>
  </si>
  <si>
    <t>Biorresiduos entradas a instalaciones de transporte</t>
  </si>
  <si>
    <t>Mairaga (PTR Tafalla)</t>
  </si>
  <si>
    <t>Sakana (Muelle de descarga)</t>
  </si>
  <si>
    <t>Ribera (Planta El Culebrete)</t>
  </si>
  <si>
    <t>Ribera Alta (Muelle de Peralta)</t>
  </si>
  <si>
    <t>Baztán, Bortziriak y Malerreka (PTR Santesteban)</t>
  </si>
  <si>
    <t>Biorresiduos entrada plantas de tratamiento</t>
  </si>
  <si>
    <t>Baztan, Bortiziriak, y Malerreka (PTR Santesteban)</t>
  </si>
  <si>
    <t>Mairaga poda directo</t>
  </si>
  <si>
    <t>Mairaga orgánica (PTR Tafalla)</t>
  </si>
  <si>
    <t>Montejurra orgánica</t>
  </si>
  <si>
    <t>Sakana orgánica (Muelle de Arbizu)</t>
  </si>
  <si>
    <t>Sakana poda</t>
  </si>
  <si>
    <t xml:space="preserve">Ribera Alta podas </t>
  </si>
  <si>
    <t>Tipo de tratamiento</t>
  </si>
  <si>
    <t xml:space="preserve">El Culebrete (biometanización)  </t>
  </si>
  <si>
    <t xml:space="preserve">El Culebrete (vertedero)  </t>
  </si>
  <si>
    <t>El Culebrete (planta de industriales)</t>
  </si>
  <si>
    <t xml:space="preserve">Carcar (compostaje)  </t>
  </si>
  <si>
    <t xml:space="preserve">Carcar (vertedero con preselección)  </t>
  </si>
  <si>
    <t xml:space="preserve">Carcar (vertedero directo)  </t>
  </si>
  <si>
    <t>Peralta (envases)</t>
  </si>
  <si>
    <t>Triturado podas (Arbizu y Carcar)</t>
  </si>
  <si>
    <t xml:space="preserve">HTN y Biomendi (biometanización) </t>
  </si>
  <si>
    <t>Comunitario</t>
  </si>
  <si>
    <t>Familias compostaje</t>
  </si>
  <si>
    <t xml:space="preserve">Montejurra </t>
  </si>
  <si>
    <t>Mendialdea*</t>
  </si>
  <si>
    <t xml:space="preserve">Toneladas estimadas </t>
  </si>
  <si>
    <t xml:space="preserve">Doméstico </t>
  </si>
  <si>
    <t>Montejurra materiales y otros</t>
  </si>
  <si>
    <t>Fracción resto</t>
  </si>
  <si>
    <t xml:space="preserve">Carcar (materiales y otros) </t>
  </si>
  <si>
    <t>2017-2020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</si>
</sst>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kg.&quot;"/>
    <numFmt numFmtId="166" formatCode="#,##0_ ;\-#,##0\ "/>
    <numFmt numFmtId="167" formatCode="_-* #,##0.0\ _€_-;\-* #,##0.0\ _€_-;_-* &quot;-&quot;??\ _€_-;_-@_-"/>
    <numFmt numFmtId="168" formatCode="_-* #,##0\ _€_-;\-* #,##0\ _€_-;_-* \-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DD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0" xfId="46" applyFont="1" applyFill="1" applyAlignment="1" applyProtection="1">
      <alignment/>
      <protection/>
    </xf>
    <xf numFmtId="0" fontId="0" fillId="33" borderId="0" xfId="0" applyFill="1" applyAlignment="1">
      <alignment/>
    </xf>
    <xf numFmtId="0" fontId="7" fillId="33" borderId="0" xfId="46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46" applyFont="1" applyFill="1" applyAlignment="1" applyProtection="1">
      <alignment/>
      <protection/>
    </xf>
    <xf numFmtId="164" fontId="48" fillId="34" borderId="10" xfId="16" applyNumberFormat="1" applyFont="1" applyFill="1" applyBorder="1" applyAlignment="1">
      <alignment/>
    </xf>
    <xf numFmtId="0" fontId="48" fillId="34" borderId="11" xfId="16" applyNumberFormat="1" applyFont="1" applyFill="1" applyBorder="1" applyAlignment="1">
      <alignment horizontal="center" wrapText="1"/>
    </xf>
    <xf numFmtId="0" fontId="48" fillId="34" borderId="12" xfId="16" applyNumberFormat="1" applyFont="1" applyFill="1" applyBorder="1" applyAlignment="1">
      <alignment horizontal="center" wrapText="1"/>
    </xf>
    <xf numFmtId="0" fontId="0" fillId="0" borderId="13" xfId="53" applyBorder="1" applyAlignment="1">
      <alignment wrapText="1"/>
      <protection/>
    </xf>
    <xf numFmtId="14" fontId="0" fillId="0" borderId="13" xfId="53" applyNumberFormat="1" applyBorder="1" applyAlignment="1">
      <alignment wrapText="1"/>
      <protection/>
    </xf>
    <xf numFmtId="21" fontId="0" fillId="0" borderId="13" xfId="53" applyNumberFormat="1" applyBorder="1" applyAlignment="1">
      <alignment wrapText="1"/>
      <protection/>
    </xf>
    <xf numFmtId="0" fontId="0" fillId="0" borderId="13" xfId="53" applyBorder="1">
      <alignment/>
      <protection/>
    </xf>
    <xf numFmtId="164" fontId="48" fillId="35" borderId="14" xfId="16" applyNumberFormat="1" applyFont="1" applyFill="1" applyBorder="1" applyAlignment="1">
      <alignment/>
    </xf>
    <xf numFmtId="164" fontId="31" fillId="35" borderId="14" xfId="16" applyNumberFormat="1" applyFont="1" applyFill="1" applyBorder="1" applyAlignment="1">
      <alignment/>
    </xf>
    <xf numFmtId="164" fontId="0" fillId="35" borderId="14" xfId="16" applyNumberFormat="1" applyFont="1" applyFill="1" applyBorder="1" applyAlignment="1">
      <alignment/>
    </xf>
    <xf numFmtId="164" fontId="48" fillId="0" borderId="14" xfId="16" applyNumberFormat="1" applyFont="1" applyFill="1" applyBorder="1" applyAlignment="1">
      <alignment/>
    </xf>
    <xf numFmtId="164" fontId="31" fillId="0" borderId="14" xfId="16" applyNumberFormat="1" applyFont="1" applyFill="1" applyBorder="1" applyAlignment="1">
      <alignment horizontal="right"/>
    </xf>
    <xf numFmtId="164" fontId="48" fillId="0" borderId="0" xfId="16" applyNumberFormat="1" applyFont="1" applyFill="1" applyBorder="1" applyAlignment="1">
      <alignment/>
    </xf>
    <xf numFmtId="164" fontId="2" fillId="0" borderId="0" xfId="48" applyNumberFormat="1" applyFont="1" applyBorder="1" applyAlignment="1">
      <alignment/>
    </xf>
    <xf numFmtId="164" fontId="31" fillId="0" borderId="0" xfId="16" applyNumberFormat="1" applyFont="1" applyFill="1" applyBorder="1" applyAlignment="1">
      <alignment/>
    </xf>
    <xf numFmtId="166" fontId="31" fillId="0" borderId="0" xfId="16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 vertical="center"/>
    </xf>
    <xf numFmtId="164" fontId="48" fillId="0" borderId="15" xfId="16" applyNumberFormat="1" applyFont="1" applyFill="1" applyBorder="1" applyAlignment="1">
      <alignment/>
    </xf>
    <xf numFmtId="164" fontId="48" fillId="0" borderId="13" xfId="16" applyNumberFormat="1" applyFont="1" applyFill="1" applyBorder="1" applyAlignment="1">
      <alignment/>
    </xf>
    <xf numFmtId="0" fontId="2" fillId="0" borderId="0" xfId="53" applyFont="1" applyFill="1">
      <alignment/>
      <protection/>
    </xf>
    <xf numFmtId="166" fontId="14" fillId="0" borderId="0" xfId="16" applyNumberFormat="1" applyFont="1" applyFill="1" applyBorder="1" applyAlignment="1">
      <alignment horizontal="center"/>
    </xf>
    <xf numFmtId="0" fontId="0" fillId="0" borderId="0" xfId="53" applyFont="1" applyFill="1">
      <alignment/>
      <protection/>
    </xf>
    <xf numFmtId="3" fontId="0" fillId="0" borderId="0" xfId="53" applyNumberFormat="1" applyFont="1" applyFill="1">
      <alignment/>
      <protection/>
    </xf>
    <xf numFmtId="167" fontId="31" fillId="35" borderId="14" xfId="16" applyNumberFormat="1" applyFont="1" applyFill="1" applyBorder="1" applyAlignment="1">
      <alignment/>
    </xf>
    <xf numFmtId="167" fontId="31" fillId="0" borderId="14" xfId="16" applyNumberFormat="1" applyFont="1" applyFill="1" applyBorder="1" applyAlignment="1">
      <alignment horizontal="right"/>
    </xf>
    <xf numFmtId="166" fontId="14" fillId="0" borderId="13" xfId="16" applyNumberFormat="1" applyFont="1" applyFill="1" applyBorder="1" applyAlignment="1">
      <alignment horizontal="center"/>
    </xf>
    <xf numFmtId="164" fontId="48" fillId="0" borderId="16" xfId="16" applyNumberFormat="1" applyFont="1" applyFill="1" applyBorder="1" applyAlignment="1">
      <alignment/>
    </xf>
    <xf numFmtId="167" fontId="31" fillId="0" borderId="13" xfId="16" applyNumberFormat="1" applyFont="1" applyFill="1" applyBorder="1" applyAlignment="1">
      <alignment/>
    </xf>
    <xf numFmtId="164" fontId="48" fillId="35" borderId="17" xfId="16" applyNumberFormat="1" applyFont="1" applyFill="1" applyBorder="1" applyAlignment="1">
      <alignment/>
    </xf>
    <xf numFmtId="166" fontId="31" fillId="35" borderId="14" xfId="16" applyNumberFormat="1" applyFont="1" applyFill="1" applyBorder="1" applyAlignment="1">
      <alignment horizontal="center"/>
    </xf>
    <xf numFmtId="164" fontId="48" fillId="0" borderId="17" xfId="16" applyNumberFormat="1" applyFont="1" applyFill="1" applyBorder="1" applyAlignment="1">
      <alignment wrapText="1"/>
    </xf>
    <xf numFmtId="166" fontId="31" fillId="0" borderId="14" xfId="16" applyNumberFormat="1" applyFont="1" applyFill="1" applyBorder="1" applyAlignment="1">
      <alignment horizontal="center"/>
    </xf>
    <xf numFmtId="168" fontId="2" fillId="0" borderId="13" xfId="48" applyNumberFormat="1" applyFont="1" applyFill="1" applyBorder="1" applyAlignment="1" applyProtection="1">
      <alignment horizontal="center"/>
      <protection/>
    </xf>
    <xf numFmtId="168" fontId="2" fillId="0" borderId="13" xfId="48" applyNumberFormat="1" applyFont="1" applyFill="1" applyBorder="1" applyAlignment="1" applyProtection="1">
      <alignment/>
      <protection/>
    </xf>
    <xf numFmtId="168" fontId="15" fillId="0" borderId="13" xfId="48" applyNumberFormat="1" applyFont="1" applyFill="1" applyBorder="1" applyAlignment="1" applyProtection="1">
      <alignment/>
      <protection/>
    </xf>
    <xf numFmtId="164" fontId="48" fillId="34" borderId="18" xfId="16" applyNumberFormat="1" applyFont="1" applyFill="1" applyBorder="1" applyAlignment="1">
      <alignment/>
    </xf>
    <xf numFmtId="0" fontId="49" fillId="36" borderId="14" xfId="0" applyFont="1" applyFill="1" applyBorder="1" applyAlignment="1">
      <alignment/>
    </xf>
    <xf numFmtId="164" fontId="31" fillId="35" borderId="19" xfId="16" applyNumberFormat="1" applyFont="1" applyFill="1" applyBorder="1" applyAlignment="1">
      <alignment/>
    </xf>
    <xf numFmtId="0" fontId="49" fillId="0" borderId="14" xfId="0" applyFont="1" applyBorder="1" applyAlignment="1">
      <alignment wrapText="1"/>
    </xf>
    <xf numFmtId="164" fontId="31" fillId="0" borderId="19" xfId="16" applyNumberFormat="1" applyFont="1" applyFill="1" applyBorder="1" applyAlignment="1">
      <alignment horizontal="right"/>
    </xf>
    <xf numFmtId="0" fontId="48" fillId="34" borderId="11" xfId="16" applyFont="1" applyFill="1" applyBorder="1" applyAlignment="1">
      <alignment horizontal="center" wrapText="1"/>
    </xf>
    <xf numFmtId="0" fontId="48" fillId="34" borderId="12" xfId="16" applyFont="1" applyFill="1" applyBorder="1" applyAlignment="1">
      <alignment horizontal="center" wrapText="1"/>
    </xf>
    <xf numFmtId="164" fontId="48" fillId="34" borderId="10" xfId="17" applyNumberFormat="1" applyFont="1" applyFill="1" applyBorder="1" applyAlignment="1">
      <alignment/>
    </xf>
    <xf numFmtId="164" fontId="48" fillId="34" borderId="20" xfId="17" applyNumberFormat="1" applyFont="1" applyFill="1" applyBorder="1" applyAlignment="1">
      <alignment wrapText="1"/>
    </xf>
    <xf numFmtId="164" fontId="14" fillId="35" borderId="14" xfId="16" applyNumberFormat="1" applyFont="1" applyFill="1" applyBorder="1" applyAlignment="1">
      <alignment/>
    </xf>
    <xf numFmtId="164" fontId="14" fillId="0" borderId="14" xfId="16" applyNumberFormat="1" applyFont="1" applyFill="1" applyBorder="1" applyAlignment="1">
      <alignment/>
    </xf>
    <xf numFmtId="164" fontId="31" fillId="0" borderId="14" xfId="16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3838575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3838575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\Operaci&#243;n%20Muelles%20de%20descarga%20y%20plantas\Arbizu\Explotaci&#243;n%20y%20transporte\Entradas%202017\NILSArako%20datuak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">
          <cell r="E5">
            <v>196070</v>
          </cell>
          <cell r="H5">
            <v>235700</v>
          </cell>
          <cell r="I5">
            <v>237720</v>
          </cell>
        </row>
        <row r="6">
          <cell r="E6">
            <v>80940</v>
          </cell>
          <cell r="H6">
            <v>80860</v>
          </cell>
          <cell r="I6">
            <v>96960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4" t="s">
        <v>0</v>
      </c>
      <c r="C7" s="5" t="s">
        <v>6</v>
      </c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1</v>
      </c>
      <c r="C8" s="5" t="s">
        <v>91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2</v>
      </c>
      <c r="C9" s="5">
        <v>2017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ht="15.75">
      <c r="B12" s="6" t="s">
        <v>3</v>
      </c>
    </row>
    <row r="13" ht="15.75">
      <c r="B13" s="17"/>
    </row>
    <row r="14" spans="2:6" ht="12.75">
      <c r="B14" s="18" t="s">
        <v>4</v>
      </c>
      <c r="C14" s="13"/>
      <c r="D14" s="13"/>
      <c r="E14" s="13"/>
      <c r="F14" s="13"/>
    </row>
    <row r="15" spans="2:6" ht="12.75">
      <c r="B15" s="18" t="s">
        <v>5</v>
      </c>
      <c r="C15" s="13"/>
      <c r="D15" s="13"/>
      <c r="E15" s="13"/>
      <c r="F15" s="14"/>
    </row>
    <row r="16" spans="1:6" ht="12.75">
      <c r="A16" s="11"/>
      <c r="B16" s="15"/>
      <c r="C16" s="16"/>
      <c r="D16" s="16"/>
      <c r="E16" s="14"/>
      <c r="F16" s="14"/>
    </row>
    <row r="17" spans="1:6" ht="12.75">
      <c r="A17" s="11"/>
      <c r="B17" s="15"/>
      <c r="C17" s="16"/>
      <c r="D17" s="16"/>
      <c r="E17" s="14"/>
      <c r="F17" s="14"/>
    </row>
    <row r="18" spans="2:6" ht="12.75">
      <c r="B18" s="14"/>
      <c r="C18" s="14"/>
      <c r="D18" s="14"/>
      <c r="E18" s="14"/>
      <c r="F18" s="14"/>
    </row>
  </sheetData>
  <sheetProtection/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11.421875" style="14" customWidth="1"/>
    <col min="2" max="2" width="104.28125" style="2" bestFit="1" customWidth="1"/>
    <col min="3" max="15" width="11.57421875" style="2" customWidth="1"/>
    <col min="16" max="16384" width="11.421875" style="2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0</v>
      </c>
      <c r="B6" s="5" t="str">
        <f>Índice!C7</f>
        <v>2200311 GESTIÓN DE RESIDUOS DENTRO DEL CONSORCIO PARA EL TRATAMIENTO DE LOS RESIDUOS URBANOS DE NAVARRA 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4" t="s">
        <v>1</v>
      </c>
      <c r="B7" s="5" t="str">
        <f>Índice!C8</f>
        <v>2017-2020</v>
      </c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2</v>
      </c>
      <c r="B8" s="5">
        <v>2017</v>
      </c>
      <c r="E8" s="3"/>
      <c r="F8" s="3"/>
      <c r="G8" s="3"/>
      <c r="H8" s="3"/>
      <c r="I8" s="3"/>
      <c r="J8" s="3"/>
      <c r="K8" s="3"/>
      <c r="L8" s="3"/>
    </row>
    <row r="9" spans="2:12" ht="12.75">
      <c r="B9" s="3"/>
      <c r="E9" s="3"/>
      <c r="F9" s="3"/>
      <c r="G9" s="3"/>
      <c r="H9" s="3"/>
      <c r="I9" s="3"/>
      <c r="J9" s="3"/>
      <c r="K9" s="3"/>
      <c r="L9" s="3"/>
    </row>
    <row r="10" spans="2:1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2.75"/>
    <row r="12" ht="12.75"/>
    <row r="13" spans="2:13" ht="12.75">
      <c r="B13" s="12" t="s">
        <v>4</v>
      </c>
      <c r="C13" s="1"/>
      <c r="D13" s="7"/>
      <c r="E13" s="7"/>
      <c r="F13" s="7"/>
      <c r="G13" s="7"/>
      <c r="H13" s="8"/>
      <c r="I13" s="7"/>
      <c r="J13" s="7"/>
      <c r="K13" s="7"/>
      <c r="L13" s="8"/>
      <c r="M13" s="7"/>
    </row>
    <row r="14" spans="2:14" ht="12.75"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5" ht="13.5" thickBot="1">
      <c r="B15" s="38" t="s">
        <v>89</v>
      </c>
      <c r="C15" s="22"/>
      <c r="D15" s="23"/>
      <c r="E15" s="24"/>
      <c r="F15" s="22"/>
      <c r="G15" s="22"/>
      <c r="H15" s="22"/>
      <c r="I15" s="22"/>
      <c r="J15" s="22"/>
      <c r="K15" s="22"/>
      <c r="L15" s="25"/>
      <c r="M15" s="25"/>
      <c r="N15" s="25"/>
      <c r="O15" s="25"/>
    </row>
    <row r="16" spans="2:16" ht="30">
      <c r="B16" s="19" t="s">
        <v>21</v>
      </c>
      <c r="C16" s="20" t="s">
        <v>22</v>
      </c>
      <c r="D16" s="20" t="s">
        <v>23</v>
      </c>
      <c r="E16" s="20" t="s">
        <v>24</v>
      </c>
      <c r="F16" s="20" t="s">
        <v>25</v>
      </c>
      <c r="G16" s="20" t="s">
        <v>26</v>
      </c>
      <c r="H16" s="20" t="s">
        <v>27</v>
      </c>
      <c r="I16" s="20" t="s">
        <v>28</v>
      </c>
      <c r="J16" s="20" t="s">
        <v>29</v>
      </c>
      <c r="K16" s="20" t="s">
        <v>30</v>
      </c>
      <c r="L16" s="20" t="s">
        <v>31</v>
      </c>
      <c r="M16" s="20" t="s">
        <v>32</v>
      </c>
      <c r="N16" s="20" t="s">
        <v>33</v>
      </c>
      <c r="O16" s="21" t="s">
        <v>40</v>
      </c>
      <c r="P16"/>
    </row>
    <row r="17" spans="2:16" ht="15">
      <c r="B17" s="26" t="s">
        <v>41</v>
      </c>
      <c r="C17" s="27">
        <v>2150.34</v>
      </c>
      <c r="D17" s="27">
        <v>1955.76</v>
      </c>
      <c r="E17" s="27">
        <v>2268</v>
      </c>
      <c r="F17" s="27">
        <v>2307.08</v>
      </c>
      <c r="G17" s="28">
        <v>2416.12</v>
      </c>
      <c r="H17" s="27">
        <v>2433.38</v>
      </c>
      <c r="I17" s="27">
        <v>2486.56</v>
      </c>
      <c r="J17" s="27">
        <v>2658.58</v>
      </c>
      <c r="K17" s="27">
        <v>2571.44</v>
      </c>
      <c r="L17" s="27">
        <v>2463.04</v>
      </c>
      <c r="M17" s="27">
        <v>2218.68</v>
      </c>
      <c r="N17" s="27">
        <v>2298.5</v>
      </c>
      <c r="O17" s="27">
        <f>SUM(C17:N17)</f>
        <v>28227.48</v>
      </c>
      <c r="P17"/>
    </row>
    <row r="18" spans="2:16" ht="15">
      <c r="B18" s="29" t="s">
        <v>42</v>
      </c>
      <c r="C18" s="30">
        <v>169.7</v>
      </c>
      <c r="D18" s="30">
        <v>182.68</v>
      </c>
      <c r="E18" s="30">
        <v>203.18</v>
      </c>
      <c r="F18" s="30">
        <v>173.34</v>
      </c>
      <c r="G18" s="30">
        <v>204.64</v>
      </c>
      <c r="H18" s="30">
        <v>213.16</v>
      </c>
      <c r="I18" s="30">
        <v>188.54</v>
      </c>
      <c r="J18" s="30">
        <v>199.56</v>
      </c>
      <c r="K18" s="30">
        <v>202.28</v>
      </c>
      <c r="L18" s="30">
        <v>193.38</v>
      </c>
      <c r="M18" s="30">
        <v>179.72</v>
      </c>
      <c r="N18" s="30">
        <v>166.58</v>
      </c>
      <c r="O18" s="30">
        <f aca="true" t="shared" si="0" ref="O18:O35">SUM(C18:N18)</f>
        <v>2276.7599999999998</v>
      </c>
      <c r="P18"/>
    </row>
    <row r="19" spans="2:16" ht="15">
      <c r="B19" s="26" t="s">
        <v>50</v>
      </c>
      <c r="C19" s="27">
        <v>230.28</v>
      </c>
      <c r="D19" s="27">
        <v>209.71</v>
      </c>
      <c r="E19" s="27">
        <v>267.53</v>
      </c>
      <c r="F19" s="27">
        <f>108.92+79.71</f>
        <v>188.63</v>
      </c>
      <c r="G19" s="28">
        <f>133.3+166.46</f>
        <v>299.76</v>
      </c>
      <c r="H19" s="27">
        <f>149.32+156.3</f>
        <v>305.62</v>
      </c>
      <c r="I19" s="27">
        <f>144.32+125.82</f>
        <v>270.14</v>
      </c>
      <c r="J19" s="27">
        <f>190.4+159.78</f>
        <v>350.18</v>
      </c>
      <c r="K19" s="27">
        <f>119.5+121.64</f>
        <v>241.14</v>
      </c>
      <c r="L19" s="27">
        <f>133.78+184.21</f>
        <v>317.99</v>
      </c>
      <c r="M19" s="27">
        <f>192.7+117.34</f>
        <v>310.03999999999996</v>
      </c>
      <c r="N19" s="27">
        <f>95.22+94.66</f>
        <v>189.88</v>
      </c>
      <c r="O19" s="27">
        <f t="shared" si="0"/>
        <v>3180.8999999999996</v>
      </c>
      <c r="P19"/>
    </row>
    <row r="20" spans="2:16" ht="15">
      <c r="B20" s="29" t="s">
        <v>43</v>
      </c>
      <c r="C20" s="30">
        <v>709.34</v>
      </c>
      <c r="D20" s="30">
        <v>644.34</v>
      </c>
      <c r="E20" s="30">
        <v>778.8</v>
      </c>
      <c r="F20" s="30">
        <v>693.78</v>
      </c>
      <c r="G20" s="30">
        <v>857.3</v>
      </c>
      <c r="H20" s="30">
        <v>797.12</v>
      </c>
      <c r="I20" s="30">
        <v>836.8</v>
      </c>
      <c r="J20" s="30">
        <v>883.1</v>
      </c>
      <c r="K20" s="30">
        <v>869.84</v>
      </c>
      <c r="L20" s="30">
        <v>784.84</v>
      </c>
      <c r="M20" s="30">
        <v>647.36</v>
      </c>
      <c r="N20" s="30">
        <v>707.5</v>
      </c>
      <c r="O20" s="30">
        <f t="shared" si="0"/>
        <v>9210.12</v>
      </c>
      <c r="P20"/>
    </row>
    <row r="21" spans="2:16" ht="15">
      <c r="B21" s="26" t="s">
        <v>44</v>
      </c>
      <c r="C21" s="27">
        <v>167.76</v>
      </c>
      <c r="D21" s="27">
        <v>152.56</v>
      </c>
      <c r="E21" s="27">
        <v>201.12</v>
      </c>
      <c r="F21" s="27">
        <v>168.14</v>
      </c>
      <c r="G21" s="28">
        <v>208.8</v>
      </c>
      <c r="H21" s="27">
        <v>173.08</v>
      </c>
      <c r="I21" s="27">
        <v>187.64</v>
      </c>
      <c r="J21" s="27">
        <v>194.08</v>
      </c>
      <c r="K21" s="27">
        <v>152.46</v>
      </c>
      <c r="L21" s="27">
        <v>209.96</v>
      </c>
      <c r="M21" s="27">
        <v>143.88</v>
      </c>
      <c r="N21" s="27">
        <v>136.42</v>
      </c>
      <c r="O21" s="27">
        <f t="shared" si="0"/>
        <v>2095.9</v>
      </c>
      <c r="P21"/>
    </row>
    <row r="22" spans="2:16" ht="15">
      <c r="B22" s="29" t="s">
        <v>9</v>
      </c>
      <c r="C22" s="30">
        <v>623.27</v>
      </c>
      <c r="D22" s="30">
        <v>600.06</v>
      </c>
      <c r="E22" s="30">
        <v>702.9</v>
      </c>
      <c r="F22" s="30">
        <v>703.48</v>
      </c>
      <c r="G22" s="30">
        <v>772.18</v>
      </c>
      <c r="H22" s="30">
        <v>767.68</v>
      </c>
      <c r="I22" s="30">
        <v>788.04</v>
      </c>
      <c r="J22" s="30">
        <v>902.12</v>
      </c>
      <c r="K22" s="30">
        <v>777.8</v>
      </c>
      <c r="L22" s="30">
        <v>761.39</v>
      </c>
      <c r="M22" s="30">
        <v>646.56</v>
      </c>
      <c r="N22" s="30">
        <v>688.48</v>
      </c>
      <c r="O22" s="30">
        <f t="shared" si="0"/>
        <v>8733.96</v>
      </c>
      <c r="P22"/>
    </row>
    <row r="23" spans="2:16" ht="15">
      <c r="B23" s="26" t="s">
        <v>45</v>
      </c>
      <c r="C23" s="27">
        <v>30</v>
      </c>
      <c r="D23" s="27">
        <v>36.98</v>
      </c>
      <c r="E23" s="27">
        <v>34.38</v>
      </c>
      <c r="F23" s="27">
        <v>31.6</v>
      </c>
      <c r="G23" s="28">
        <v>42.74</v>
      </c>
      <c r="H23" s="27">
        <v>42.56</v>
      </c>
      <c r="I23" s="27">
        <v>38.48</v>
      </c>
      <c r="J23" s="27">
        <v>28.92</v>
      </c>
      <c r="K23" s="27">
        <v>42.9</v>
      </c>
      <c r="L23" s="27">
        <v>46.44</v>
      </c>
      <c r="M23" s="27">
        <v>34.16</v>
      </c>
      <c r="N23" s="27">
        <v>17.16</v>
      </c>
      <c r="O23" s="27">
        <f t="shared" si="0"/>
        <v>426.32</v>
      </c>
      <c r="P23"/>
    </row>
    <row r="24" spans="2:16" ht="15">
      <c r="B24" s="29" t="s">
        <v>10</v>
      </c>
      <c r="C24" s="30">
        <v>302.46</v>
      </c>
      <c r="D24" s="30">
        <v>277.01</v>
      </c>
      <c r="E24" s="30">
        <v>318.76</v>
      </c>
      <c r="F24" s="30">
        <f>('[1]Hoja1'!$E$5+'[1]Hoja1'!$E$6)/1000</f>
        <v>277.01</v>
      </c>
      <c r="G24" s="30">
        <f>('[1]Hoja1'!$H$5+'[1]Hoja1'!$H$6)/1000</f>
        <v>316.56</v>
      </c>
      <c r="H24" s="30">
        <f>('[1]Hoja1'!$I$5+'[1]Hoja1'!$I$6)/1000</f>
        <v>334.68</v>
      </c>
      <c r="I24" s="30">
        <f>378.01-I25</f>
        <v>343.27</v>
      </c>
      <c r="J24" s="30">
        <f>356.58-J25</f>
        <v>325.78</v>
      </c>
      <c r="K24" s="30">
        <f>355.42-K25</f>
        <v>324.6</v>
      </c>
      <c r="L24" s="30">
        <f>357.34-L25</f>
        <v>325.02</v>
      </c>
      <c r="M24" s="30">
        <f>342.26-M25</f>
        <v>311.59999999999997</v>
      </c>
      <c r="N24" s="30">
        <f>347.96-N25</f>
        <v>319.84</v>
      </c>
      <c r="O24" s="30">
        <f t="shared" si="0"/>
        <v>3776.5899999999997</v>
      </c>
      <c r="P24"/>
    </row>
    <row r="25" spans="2:16" ht="15">
      <c r="B25" s="26" t="s">
        <v>46</v>
      </c>
      <c r="C25" s="27">
        <v>28.4</v>
      </c>
      <c r="D25" s="27">
        <v>35.36</v>
      </c>
      <c r="E25" s="27">
        <v>47.74</v>
      </c>
      <c r="F25" s="27">
        <v>30.38</v>
      </c>
      <c r="G25" s="28">
        <v>36.6</v>
      </c>
      <c r="H25" s="27">
        <v>39.08</v>
      </c>
      <c r="I25" s="27">
        <v>34.74</v>
      </c>
      <c r="J25" s="27">
        <v>30.8</v>
      </c>
      <c r="K25" s="27">
        <v>30.82</v>
      </c>
      <c r="L25" s="27">
        <v>32.32</v>
      </c>
      <c r="M25" s="27">
        <v>30.66</v>
      </c>
      <c r="N25" s="27">
        <v>28.12</v>
      </c>
      <c r="O25" s="27">
        <f t="shared" si="0"/>
        <v>405.02000000000004</v>
      </c>
      <c r="P25"/>
    </row>
    <row r="26" spans="2:16" ht="15">
      <c r="B26" s="29" t="s">
        <v>11</v>
      </c>
      <c r="C26" s="30">
        <v>267.12</v>
      </c>
      <c r="D26" s="30">
        <v>254.74</v>
      </c>
      <c r="E26" s="30">
        <v>305.92</v>
      </c>
      <c r="F26" s="30">
        <v>303.06</v>
      </c>
      <c r="G26" s="30">
        <v>332.025</v>
      </c>
      <c r="H26" s="30">
        <v>329.71</v>
      </c>
      <c r="I26" s="30">
        <v>357.745</v>
      </c>
      <c r="J26" s="30">
        <v>398.92</v>
      </c>
      <c r="K26" s="30">
        <v>382.47</v>
      </c>
      <c r="L26" s="30">
        <v>351.77</v>
      </c>
      <c r="M26" s="30">
        <v>285.74</v>
      </c>
      <c r="N26" s="30">
        <v>294.31</v>
      </c>
      <c r="O26" s="30">
        <f t="shared" si="0"/>
        <v>3863.53</v>
      </c>
      <c r="P26"/>
    </row>
    <row r="27" spans="2:16" ht="15">
      <c r="B27" s="26" t="s">
        <v>12</v>
      </c>
      <c r="C27" s="27">
        <v>238.92</v>
      </c>
      <c r="D27" s="27">
        <v>218.84</v>
      </c>
      <c r="E27" s="27">
        <v>265.92</v>
      </c>
      <c r="F27" s="27">
        <v>260.24</v>
      </c>
      <c r="G27" s="28">
        <v>278.3</v>
      </c>
      <c r="H27" s="27">
        <v>275.46</v>
      </c>
      <c r="I27" s="27">
        <v>300.16</v>
      </c>
      <c r="J27" s="27">
        <v>356.3</v>
      </c>
      <c r="K27" s="27">
        <v>333.7</v>
      </c>
      <c r="L27" s="27">
        <v>282.98</v>
      </c>
      <c r="M27" s="27">
        <v>244.36</v>
      </c>
      <c r="N27" s="27">
        <v>249.28</v>
      </c>
      <c r="O27" s="27">
        <f t="shared" si="0"/>
        <v>3304.4600000000005</v>
      </c>
      <c r="P27"/>
    </row>
    <row r="28" spans="2:16" ht="15">
      <c r="B28" s="29" t="s">
        <v>13</v>
      </c>
      <c r="C28" s="30">
        <v>194.08</v>
      </c>
      <c r="D28" s="30">
        <v>182.98</v>
      </c>
      <c r="E28" s="30">
        <v>208.12</v>
      </c>
      <c r="F28" s="30">
        <v>204.32</v>
      </c>
      <c r="G28" s="30">
        <v>227.54</v>
      </c>
      <c r="H28" s="30">
        <v>222.68</v>
      </c>
      <c r="I28" s="30">
        <v>253.34</v>
      </c>
      <c r="J28" s="30">
        <v>243.06</v>
      </c>
      <c r="K28" s="30">
        <v>230.28</v>
      </c>
      <c r="L28" s="30">
        <v>221.04</v>
      </c>
      <c r="M28" s="30">
        <v>195.1</v>
      </c>
      <c r="N28" s="30">
        <v>214.74</v>
      </c>
      <c r="O28" s="30">
        <f t="shared" si="0"/>
        <v>2597.2799999999997</v>
      </c>
      <c r="P28"/>
    </row>
    <row r="29" spans="2:16" ht="15">
      <c r="B29" s="26" t="s">
        <v>47</v>
      </c>
      <c r="C29" s="27">
        <v>154.06</v>
      </c>
      <c r="D29" s="27">
        <v>132.66</v>
      </c>
      <c r="E29" s="27">
        <v>158.28</v>
      </c>
      <c r="F29" s="27">
        <v>157.96</v>
      </c>
      <c r="G29" s="28">
        <v>172.48</v>
      </c>
      <c r="H29" s="27">
        <v>166.44</v>
      </c>
      <c r="I29" s="27">
        <v>190.14</v>
      </c>
      <c r="J29" s="27">
        <v>209.58</v>
      </c>
      <c r="K29" s="27">
        <v>176.46</v>
      </c>
      <c r="L29" s="27">
        <v>155.88</v>
      </c>
      <c r="M29" s="27">
        <v>152.46</v>
      </c>
      <c r="N29" s="27">
        <v>165.96</v>
      </c>
      <c r="O29" s="27">
        <f t="shared" si="0"/>
        <v>1992.3600000000001</v>
      </c>
      <c r="P29"/>
    </row>
    <row r="30" spans="2:16" ht="15">
      <c r="B30" s="29" t="s">
        <v>14</v>
      </c>
      <c r="C30" s="30">
        <v>140.36</v>
      </c>
      <c r="D30" s="30">
        <v>124.26</v>
      </c>
      <c r="E30" s="30">
        <v>145.74</v>
      </c>
      <c r="F30" s="30">
        <v>133.06</v>
      </c>
      <c r="G30" s="30">
        <v>157.3</v>
      </c>
      <c r="H30" s="30">
        <v>145.14</v>
      </c>
      <c r="I30" s="30">
        <v>151.74</v>
      </c>
      <c r="J30" s="30">
        <v>181.16</v>
      </c>
      <c r="K30" s="30">
        <v>150.36</v>
      </c>
      <c r="L30" s="30">
        <v>155.5</v>
      </c>
      <c r="M30" s="30">
        <v>144.24</v>
      </c>
      <c r="N30" s="30">
        <v>134.52</v>
      </c>
      <c r="O30" s="30">
        <f t="shared" si="0"/>
        <v>1763.3799999999999</v>
      </c>
      <c r="P30"/>
    </row>
    <row r="31" spans="2:16" ht="15">
      <c r="B31" s="26" t="s">
        <v>15</v>
      </c>
      <c r="C31" s="27">
        <v>115.36</v>
      </c>
      <c r="D31" s="27">
        <v>109.28</v>
      </c>
      <c r="E31" s="27">
        <v>118.8</v>
      </c>
      <c r="F31" s="27">
        <v>122.54</v>
      </c>
      <c r="G31" s="28">
        <v>128.6</v>
      </c>
      <c r="H31" s="27">
        <v>124.18</v>
      </c>
      <c r="I31" s="27">
        <v>139.68</v>
      </c>
      <c r="J31" s="27">
        <v>154</v>
      </c>
      <c r="K31" s="27">
        <v>126.48</v>
      </c>
      <c r="L31" s="27">
        <v>127.02</v>
      </c>
      <c r="M31" s="27">
        <v>113.5</v>
      </c>
      <c r="N31" s="27">
        <v>125.94</v>
      </c>
      <c r="O31" s="27">
        <f t="shared" si="0"/>
        <v>1505.38</v>
      </c>
      <c r="P31"/>
    </row>
    <row r="32" spans="2:16" ht="15">
      <c r="B32" s="29" t="s">
        <v>16</v>
      </c>
      <c r="C32" s="30">
        <v>111.64</v>
      </c>
      <c r="D32" s="30">
        <v>100.24</v>
      </c>
      <c r="E32" s="30">
        <v>114.24</v>
      </c>
      <c r="F32" s="30">
        <v>108.56</v>
      </c>
      <c r="G32" s="30">
        <v>121.38</v>
      </c>
      <c r="H32" s="30">
        <v>128</v>
      </c>
      <c r="I32" s="30">
        <v>129.62</v>
      </c>
      <c r="J32" s="30">
        <v>147.3</v>
      </c>
      <c r="K32" s="30">
        <v>135.2</v>
      </c>
      <c r="L32" s="30">
        <v>123.38</v>
      </c>
      <c r="M32" s="30">
        <v>109.36</v>
      </c>
      <c r="N32" s="30">
        <v>111.44</v>
      </c>
      <c r="O32" s="30">
        <f t="shared" si="0"/>
        <v>1440.36</v>
      </c>
      <c r="P32"/>
    </row>
    <row r="33" spans="2:15" ht="15">
      <c r="B33" s="26" t="s">
        <v>17</v>
      </c>
      <c r="C33" s="27">
        <v>63</v>
      </c>
      <c r="D33" s="27">
        <v>65.22</v>
      </c>
      <c r="E33" s="27">
        <v>76.82</v>
      </c>
      <c r="F33" s="27">
        <v>90.64</v>
      </c>
      <c r="G33" s="28">
        <v>79.5</v>
      </c>
      <c r="H33" s="27">
        <v>81.02</v>
      </c>
      <c r="I33" s="27">
        <v>141.16</v>
      </c>
      <c r="J33" s="27">
        <v>166.74</v>
      </c>
      <c r="K33" s="27">
        <v>86.24</v>
      </c>
      <c r="L33" s="27">
        <v>95.68</v>
      </c>
      <c r="M33" s="27">
        <v>66.18</v>
      </c>
      <c r="N33" s="27">
        <v>73.54</v>
      </c>
      <c r="O33" s="27">
        <f t="shared" si="0"/>
        <v>1085.74</v>
      </c>
    </row>
    <row r="34" spans="2:15" ht="15">
      <c r="B34" s="29" t="s">
        <v>18</v>
      </c>
      <c r="C34" s="30">
        <v>64.94</v>
      </c>
      <c r="D34" s="30">
        <v>50.94</v>
      </c>
      <c r="E34" s="30">
        <v>51.36</v>
      </c>
      <c r="F34" s="30">
        <v>71.4</v>
      </c>
      <c r="G34" s="30">
        <v>84.4</v>
      </c>
      <c r="H34" s="30">
        <v>72.18</v>
      </c>
      <c r="I34" s="30">
        <v>94.28</v>
      </c>
      <c r="J34" s="30">
        <v>112.92</v>
      </c>
      <c r="K34" s="30">
        <v>79.54</v>
      </c>
      <c r="L34" s="30">
        <v>87.5</v>
      </c>
      <c r="M34" s="30">
        <v>61.72</v>
      </c>
      <c r="N34" s="30">
        <v>56.26</v>
      </c>
      <c r="O34" s="30">
        <f t="shared" si="0"/>
        <v>887.4399999999999</v>
      </c>
    </row>
    <row r="35" spans="2:15" ht="15">
      <c r="B35" s="26" t="s">
        <v>19</v>
      </c>
      <c r="C35" s="27">
        <v>17.9</v>
      </c>
      <c r="D35" s="27">
        <v>15.34</v>
      </c>
      <c r="E35" s="27">
        <v>18.42</v>
      </c>
      <c r="F35" s="27">
        <v>17.88</v>
      </c>
      <c r="G35" s="28">
        <v>19.56</v>
      </c>
      <c r="H35" s="27">
        <v>20.4</v>
      </c>
      <c r="I35" s="27">
        <v>22.44</v>
      </c>
      <c r="J35" s="27">
        <v>21.08</v>
      </c>
      <c r="K35" s="27">
        <v>21.14</v>
      </c>
      <c r="L35" s="27">
        <v>22.12</v>
      </c>
      <c r="M35" s="27">
        <v>15.92</v>
      </c>
      <c r="N35" s="27">
        <v>19.3</v>
      </c>
      <c r="O35" s="27">
        <f t="shared" si="0"/>
        <v>231.49999999999997</v>
      </c>
    </row>
    <row r="36" spans="2:15" ht="15">
      <c r="B36" s="29" t="s">
        <v>48</v>
      </c>
      <c r="C36" s="30">
        <f aca="true" t="shared" si="1" ref="C36:N36">SUM(C17:C35)</f>
        <v>5778.9299999999985</v>
      </c>
      <c r="D36" s="30">
        <f t="shared" si="1"/>
        <v>5348.96</v>
      </c>
      <c r="E36" s="30">
        <f t="shared" si="1"/>
        <v>6286.029999999999</v>
      </c>
      <c r="F36" s="30">
        <f t="shared" si="1"/>
        <v>6043.100000000001</v>
      </c>
      <c r="G36" s="30">
        <f t="shared" si="1"/>
        <v>6755.785000000001</v>
      </c>
      <c r="H36" s="30">
        <f t="shared" si="1"/>
        <v>6671.5700000000015</v>
      </c>
      <c r="I36" s="30">
        <f t="shared" si="1"/>
        <v>6954.5149999999985</v>
      </c>
      <c r="J36" s="30">
        <f t="shared" si="1"/>
        <v>7564.18</v>
      </c>
      <c r="K36" s="30">
        <f t="shared" si="1"/>
        <v>6935.149999999999</v>
      </c>
      <c r="L36" s="30">
        <f t="shared" si="1"/>
        <v>6757.25</v>
      </c>
      <c r="M36" s="30">
        <f t="shared" si="1"/>
        <v>5911.24</v>
      </c>
      <c r="N36" s="30">
        <f t="shared" si="1"/>
        <v>5997.77</v>
      </c>
      <c r="O36" s="30">
        <f>SUM(C36:N36)</f>
        <v>77004.48000000001</v>
      </c>
    </row>
    <row r="37" spans="2:15" ht="15.75">
      <c r="B37" s="31" t="s">
        <v>49</v>
      </c>
      <c r="C37" s="32"/>
      <c r="D37" s="32"/>
      <c r="E37" s="35"/>
      <c r="F37" s="33"/>
      <c r="G37" s="33"/>
      <c r="H37" s="33"/>
      <c r="I37" s="34"/>
      <c r="J37" s="34"/>
      <c r="K37" s="34"/>
      <c r="L37" s="33"/>
      <c r="M37" s="33"/>
      <c r="N37" s="33"/>
      <c r="O37" s="36"/>
    </row>
    <row r="40" spans="2:15" ht="15.75" thickBot="1">
      <c r="B40" s="31" t="s">
        <v>51</v>
      </c>
      <c r="C40" s="32"/>
      <c r="D40" s="32"/>
      <c r="E40" s="32"/>
      <c r="F40" s="33"/>
      <c r="G40" s="33"/>
      <c r="H40" s="33"/>
      <c r="I40" s="34"/>
      <c r="J40" s="34"/>
      <c r="K40" s="34"/>
      <c r="L40" s="33"/>
      <c r="M40" s="33"/>
      <c r="N40" s="33"/>
      <c r="O40" s="37"/>
    </row>
    <row r="41" spans="2:15" ht="15">
      <c r="B41" s="19" t="s">
        <v>52</v>
      </c>
      <c r="C41" s="20" t="s">
        <v>22</v>
      </c>
      <c r="D41" s="20" t="s">
        <v>23</v>
      </c>
      <c r="E41" s="20" t="s">
        <v>24</v>
      </c>
      <c r="F41" s="20" t="s">
        <v>25</v>
      </c>
      <c r="G41" s="20" t="s">
        <v>26</v>
      </c>
      <c r="H41" s="20" t="s">
        <v>27</v>
      </c>
      <c r="I41" s="20" t="s">
        <v>28</v>
      </c>
      <c r="J41" s="20" t="s">
        <v>29</v>
      </c>
      <c r="K41" s="20" t="s">
        <v>30</v>
      </c>
      <c r="L41" s="20" t="s">
        <v>31</v>
      </c>
      <c r="M41" s="20" t="s">
        <v>32</v>
      </c>
      <c r="N41" s="20" t="s">
        <v>33</v>
      </c>
      <c r="O41" s="21" t="s">
        <v>40</v>
      </c>
    </row>
    <row r="42" spans="2:15" ht="15">
      <c r="B42" s="26" t="s">
        <v>53</v>
      </c>
      <c r="C42" s="27">
        <f>54.94+0</f>
        <v>54.94</v>
      </c>
      <c r="D42" s="27">
        <f>49.16+1.68</f>
        <v>50.839999999999996</v>
      </c>
      <c r="E42" s="27">
        <v>57.72</v>
      </c>
      <c r="F42" s="27">
        <f>52.38</f>
        <v>52.38</v>
      </c>
      <c r="G42" s="27">
        <f>59.9+1.86</f>
        <v>61.76</v>
      </c>
      <c r="H42" s="27">
        <f>62.6</f>
        <v>62.6</v>
      </c>
      <c r="I42" s="27">
        <v>58.48</v>
      </c>
      <c r="J42" s="27">
        <f>72.22+2.48</f>
        <v>74.7</v>
      </c>
      <c r="K42" s="27">
        <v>55.94</v>
      </c>
      <c r="L42" s="27">
        <v>59.58</v>
      </c>
      <c r="M42" s="27">
        <f>54.78+4.04</f>
        <v>58.82</v>
      </c>
      <c r="N42" s="27">
        <v>51.62</v>
      </c>
      <c r="O42" s="27">
        <f>SUM(C42:N42)</f>
        <v>699.3800000000001</v>
      </c>
    </row>
    <row r="43" spans="2:15" ht="15">
      <c r="B43" s="29" t="s">
        <v>54</v>
      </c>
      <c r="C43" s="30">
        <f>51.7</f>
        <v>51.7</v>
      </c>
      <c r="D43" s="30">
        <v>47.82</v>
      </c>
      <c r="E43" s="30">
        <v>60.36</v>
      </c>
      <c r="F43" s="30">
        <f>54.04</f>
        <v>54.04</v>
      </c>
      <c r="G43" s="30">
        <v>62.3</v>
      </c>
      <c r="H43" s="30">
        <v>56.42</v>
      </c>
      <c r="I43" s="30">
        <f>49</f>
        <v>49</v>
      </c>
      <c r="J43" s="30">
        <v>70.26</v>
      </c>
      <c r="K43" s="30">
        <v>55.88</v>
      </c>
      <c r="L43" s="30">
        <v>55.64</v>
      </c>
      <c r="M43" s="30">
        <v>59.32</v>
      </c>
      <c r="N43" s="30">
        <v>52.04</v>
      </c>
      <c r="O43" s="30">
        <f>SUM(C43:N43)</f>
        <v>674.78</v>
      </c>
    </row>
    <row r="44" spans="2:15" ht="15">
      <c r="B44" s="26" t="s">
        <v>55</v>
      </c>
      <c r="C44" s="27">
        <v>36.98</v>
      </c>
      <c r="D44" s="27">
        <v>33.54</v>
      </c>
      <c r="E44" s="27">
        <v>37.3</v>
      </c>
      <c r="F44" s="27">
        <f>35.4</f>
        <v>35.4</v>
      </c>
      <c r="G44" s="27">
        <v>45.76</v>
      </c>
      <c r="H44" s="27">
        <v>35.72</v>
      </c>
      <c r="I44" s="27">
        <v>47</v>
      </c>
      <c r="J44" s="27">
        <v>45.32</v>
      </c>
      <c r="K44" s="27">
        <v>37.9</v>
      </c>
      <c r="L44" s="27">
        <v>42.34</v>
      </c>
      <c r="M44" s="27">
        <v>39.48</v>
      </c>
      <c r="N44" s="27">
        <v>36.36</v>
      </c>
      <c r="O44" s="27">
        <f>SUM(C44:N44)</f>
        <v>473.1</v>
      </c>
    </row>
    <row r="45" spans="2:15" ht="15">
      <c r="B45" s="29" t="s">
        <v>56</v>
      </c>
      <c r="C45" s="30">
        <v>25.86</v>
      </c>
      <c r="D45" s="30">
        <v>20.58</v>
      </c>
      <c r="E45" s="30">
        <v>33.06</v>
      </c>
      <c r="F45" s="30">
        <f>31.2</f>
        <v>31.2</v>
      </c>
      <c r="G45" s="30">
        <v>34.4</v>
      </c>
      <c r="H45" s="30">
        <v>34.24</v>
      </c>
      <c r="I45" s="30">
        <v>31.76</v>
      </c>
      <c r="J45" s="30">
        <v>42.2</v>
      </c>
      <c r="K45" s="30">
        <v>41.06</v>
      </c>
      <c r="L45" s="30">
        <v>32.1</v>
      </c>
      <c r="M45" s="30">
        <v>29.94</v>
      </c>
      <c r="N45" s="30">
        <v>30.38</v>
      </c>
      <c r="O45" s="30">
        <f>SUM(C45:N45)</f>
        <v>386.78000000000003</v>
      </c>
    </row>
    <row r="46" spans="2:15" ht="15">
      <c r="B46" s="26" t="s">
        <v>8</v>
      </c>
      <c r="C46" s="27">
        <v>52.92</v>
      </c>
      <c r="D46" s="27">
        <v>48.37</v>
      </c>
      <c r="E46" s="27">
        <v>54.18</v>
      </c>
      <c r="F46" s="27">
        <v>50.49</v>
      </c>
      <c r="G46" s="27">
        <v>59.49</v>
      </c>
      <c r="H46" s="27">
        <v>60.76</v>
      </c>
      <c r="I46" s="27">
        <v>57.06</v>
      </c>
      <c r="J46" s="27">
        <v>64.64</v>
      </c>
      <c r="K46" s="27">
        <v>54.54</v>
      </c>
      <c r="L46" s="27">
        <v>56.5</v>
      </c>
      <c r="M46" s="27">
        <v>53.4</v>
      </c>
      <c r="N46" s="27">
        <v>56.24</v>
      </c>
      <c r="O46" s="27">
        <f>SUM(C46:N46)</f>
        <v>668.59</v>
      </c>
    </row>
    <row r="47" spans="2:15" ht="15">
      <c r="B47" s="29" t="s">
        <v>48</v>
      </c>
      <c r="C47" s="30">
        <f>SUM(C42:C46)</f>
        <v>222.40000000000003</v>
      </c>
      <c r="D47" s="30">
        <f aca="true" t="shared" si="2" ref="D47:N47">SUM(D42:D46)</f>
        <v>201.14999999999998</v>
      </c>
      <c r="E47" s="30">
        <f t="shared" si="2"/>
        <v>242.62</v>
      </c>
      <c r="F47" s="30">
        <f t="shared" si="2"/>
        <v>223.51</v>
      </c>
      <c r="G47" s="30">
        <f t="shared" si="2"/>
        <v>263.71</v>
      </c>
      <c r="H47" s="30">
        <f t="shared" si="2"/>
        <v>249.74</v>
      </c>
      <c r="I47" s="30">
        <f t="shared" si="2"/>
        <v>243.29999999999998</v>
      </c>
      <c r="J47" s="30">
        <f t="shared" si="2"/>
        <v>297.12</v>
      </c>
      <c r="K47" s="30">
        <f t="shared" si="2"/>
        <v>245.32</v>
      </c>
      <c r="L47" s="30">
        <f t="shared" si="2"/>
        <v>246.16</v>
      </c>
      <c r="M47" s="30">
        <f t="shared" si="2"/>
        <v>240.96</v>
      </c>
      <c r="N47" s="30">
        <f t="shared" si="2"/>
        <v>226.64</v>
      </c>
      <c r="O47" s="30">
        <f>SUM(C47:N47)</f>
        <v>2902.63</v>
      </c>
    </row>
    <row r="50" spans="2:15" ht="15.75" thickBot="1">
      <c r="B50" s="38" t="s">
        <v>57</v>
      </c>
      <c r="C50" s="39"/>
      <c r="D50" s="39"/>
      <c r="E50" s="39"/>
      <c r="F50" s="39"/>
      <c r="G50" s="39"/>
      <c r="H50" s="40"/>
      <c r="I50" s="40"/>
      <c r="J50" s="41"/>
      <c r="K50" s="40"/>
      <c r="L50" s="40"/>
      <c r="M50" s="40"/>
      <c r="N50" s="40"/>
      <c r="O50" s="44"/>
    </row>
    <row r="51" spans="2:15" ht="15">
      <c r="B51" s="19" t="s">
        <v>21</v>
      </c>
      <c r="C51" s="20" t="s">
        <v>22</v>
      </c>
      <c r="D51" s="20" t="s">
        <v>23</v>
      </c>
      <c r="E51" s="20" t="s">
        <v>24</v>
      </c>
      <c r="F51" s="20" t="s">
        <v>25</v>
      </c>
      <c r="G51" s="20" t="s">
        <v>26</v>
      </c>
      <c r="H51" s="20" t="s">
        <v>27</v>
      </c>
      <c r="I51" s="20" t="s">
        <v>28</v>
      </c>
      <c r="J51" s="20" t="s">
        <v>29</v>
      </c>
      <c r="K51" s="20" t="s">
        <v>30</v>
      </c>
      <c r="L51" s="20" t="s">
        <v>31</v>
      </c>
      <c r="M51" s="20" t="s">
        <v>32</v>
      </c>
      <c r="N51" s="20" t="s">
        <v>33</v>
      </c>
      <c r="O51" s="21" t="s">
        <v>40</v>
      </c>
    </row>
    <row r="52" spans="2:15" ht="15">
      <c r="B52" s="26" t="s">
        <v>9</v>
      </c>
      <c r="C52" s="42">
        <v>30</v>
      </c>
      <c r="D52" s="42">
        <v>25.42</v>
      </c>
      <c r="E52" s="42">
        <v>31.06</v>
      </c>
      <c r="F52" s="42">
        <v>26</v>
      </c>
      <c r="G52" s="42">
        <v>29.38</v>
      </c>
      <c r="H52" s="42">
        <v>32.6</v>
      </c>
      <c r="I52" s="42">
        <v>28.32</v>
      </c>
      <c r="J52" s="42">
        <v>23.02</v>
      </c>
      <c r="K52" s="42">
        <v>30.92</v>
      </c>
      <c r="L52" s="42">
        <v>31.32</v>
      </c>
      <c r="M52" s="42">
        <v>27.06</v>
      </c>
      <c r="N52" s="42">
        <v>31.44</v>
      </c>
      <c r="O52" s="42">
        <f>SUM(C52:N52)</f>
        <v>346.54</v>
      </c>
    </row>
    <row r="53" spans="2:15" ht="15">
      <c r="B53" s="29" t="s">
        <v>10</v>
      </c>
      <c r="C53" s="30">
        <v>53.14</v>
      </c>
      <c r="D53" s="30">
        <v>42.5</v>
      </c>
      <c r="E53" s="30">
        <v>47.84</v>
      </c>
      <c r="F53" s="30">
        <v>44.5</v>
      </c>
      <c r="G53" s="30">
        <v>48.68</v>
      </c>
      <c r="H53" s="30">
        <v>47.32</v>
      </c>
      <c r="I53" s="30">
        <v>51.26</v>
      </c>
      <c r="J53" s="30">
        <v>51.14</v>
      </c>
      <c r="K53" s="30">
        <v>45.84</v>
      </c>
      <c r="L53" s="30">
        <v>47.32</v>
      </c>
      <c r="M53" s="30">
        <v>42.26</v>
      </c>
      <c r="N53" s="30">
        <v>50.94</v>
      </c>
      <c r="O53" s="30">
        <f aca="true" t="shared" si="3" ref="O53:O62">SUM(C53:N53)</f>
        <v>572.74</v>
      </c>
    </row>
    <row r="54" spans="2:15" ht="15">
      <c r="B54" s="26" t="s">
        <v>11</v>
      </c>
      <c r="C54" s="42">
        <v>14.76</v>
      </c>
      <c r="D54" s="42">
        <v>13.62</v>
      </c>
      <c r="E54" s="42">
        <v>19.29</v>
      </c>
      <c r="F54" s="42">
        <v>15.98</v>
      </c>
      <c r="G54" s="42">
        <v>18.48</v>
      </c>
      <c r="H54" s="42">
        <v>17.84</v>
      </c>
      <c r="I54" s="42">
        <v>17.72</v>
      </c>
      <c r="J54" s="42">
        <v>22.12</v>
      </c>
      <c r="K54" s="42">
        <v>17.46</v>
      </c>
      <c r="L54" s="42">
        <v>16.09</v>
      </c>
      <c r="M54" s="42">
        <v>14.76</v>
      </c>
      <c r="N54" s="42">
        <v>16.5</v>
      </c>
      <c r="O54" s="42">
        <f t="shared" si="3"/>
        <v>204.62</v>
      </c>
    </row>
    <row r="55" spans="2:15" ht="15">
      <c r="B55" s="29" t="s">
        <v>12</v>
      </c>
      <c r="C55" s="30">
        <v>11.44</v>
      </c>
      <c r="D55" s="30">
        <v>8.14</v>
      </c>
      <c r="E55" s="30">
        <v>13.66</v>
      </c>
      <c r="F55" s="30">
        <v>13.02</v>
      </c>
      <c r="G55" s="30">
        <v>13.32</v>
      </c>
      <c r="H55" s="30">
        <v>13.02</v>
      </c>
      <c r="I55" s="30">
        <v>8.38</v>
      </c>
      <c r="J55" s="30">
        <v>22.1</v>
      </c>
      <c r="K55" s="30">
        <v>10.28</v>
      </c>
      <c r="L55" s="30">
        <v>13.4</v>
      </c>
      <c r="M55" s="30">
        <v>11.58</v>
      </c>
      <c r="N55" s="30">
        <v>13.28</v>
      </c>
      <c r="O55" s="30">
        <f t="shared" si="3"/>
        <v>151.62</v>
      </c>
    </row>
    <row r="56" spans="2:15" ht="15">
      <c r="B56" s="26" t="s">
        <v>55</v>
      </c>
      <c r="C56" s="42">
        <f>13.74+15.22+7.32</f>
        <v>36.28</v>
      </c>
      <c r="D56" s="42">
        <f>9+16.66+8.22</f>
        <v>33.88</v>
      </c>
      <c r="E56" s="42">
        <f>7.28+17.56+13.08</f>
        <v>37.92</v>
      </c>
      <c r="F56" s="42">
        <v>36.7</v>
      </c>
      <c r="G56" s="42">
        <v>43.74</v>
      </c>
      <c r="H56" s="42">
        <v>40.44</v>
      </c>
      <c r="I56" s="42">
        <v>44.34</v>
      </c>
      <c r="J56" s="42">
        <v>47.5</v>
      </c>
      <c r="K56" s="42">
        <f>11.98+15.2+10.34</f>
        <v>37.519999999999996</v>
      </c>
      <c r="L56" s="42">
        <v>43.06</v>
      </c>
      <c r="M56" s="42">
        <v>40.02</v>
      </c>
      <c r="N56" s="42">
        <v>36.18</v>
      </c>
      <c r="O56" s="42">
        <f t="shared" si="3"/>
        <v>477.58</v>
      </c>
    </row>
    <row r="57" spans="2:15" ht="15">
      <c r="B57" s="29" t="s">
        <v>14</v>
      </c>
      <c r="C57" s="30">
        <v>12.9</v>
      </c>
      <c r="D57" s="30">
        <v>10.12</v>
      </c>
      <c r="E57" s="30">
        <v>12.32</v>
      </c>
      <c r="F57" s="30">
        <v>11.42</v>
      </c>
      <c r="G57" s="30">
        <v>14.8</v>
      </c>
      <c r="H57" s="30">
        <v>11.16</v>
      </c>
      <c r="I57" s="30">
        <v>12.16</v>
      </c>
      <c r="J57" s="30">
        <v>15.22</v>
      </c>
      <c r="K57" s="30">
        <v>12.12</v>
      </c>
      <c r="L57" s="30">
        <v>11.99</v>
      </c>
      <c r="M57" s="30">
        <v>11.48</v>
      </c>
      <c r="N57" s="30">
        <v>10.98</v>
      </c>
      <c r="O57" s="30">
        <f t="shared" si="3"/>
        <v>146.67</v>
      </c>
    </row>
    <row r="58" spans="2:15" ht="15">
      <c r="B58" s="26" t="s">
        <v>16</v>
      </c>
      <c r="C58" s="42">
        <v>8.5</v>
      </c>
      <c r="D58" s="42">
        <v>8.48</v>
      </c>
      <c r="E58" s="42">
        <v>11.34</v>
      </c>
      <c r="F58" s="42">
        <v>10.3</v>
      </c>
      <c r="G58" s="42">
        <v>13.32</v>
      </c>
      <c r="H58" s="42">
        <v>13.02</v>
      </c>
      <c r="I58" s="42">
        <v>11.1</v>
      </c>
      <c r="J58" s="42">
        <v>15.58</v>
      </c>
      <c r="K58" s="42">
        <v>11.26</v>
      </c>
      <c r="L58" s="42">
        <v>9.58</v>
      </c>
      <c r="M58" s="42">
        <v>11.8</v>
      </c>
      <c r="N58" s="42">
        <v>10.08</v>
      </c>
      <c r="O58" s="42">
        <f t="shared" si="3"/>
        <v>134.36</v>
      </c>
    </row>
    <row r="59" spans="2:15" ht="15">
      <c r="B59" s="29" t="s">
        <v>17</v>
      </c>
      <c r="C59" s="30">
        <v>4.18</v>
      </c>
      <c r="D59" s="30">
        <v>0</v>
      </c>
      <c r="E59" s="30">
        <v>3.5</v>
      </c>
      <c r="F59" s="30">
        <v>2.9</v>
      </c>
      <c r="G59" s="30">
        <v>6.38</v>
      </c>
      <c r="H59" s="30">
        <v>2.88</v>
      </c>
      <c r="I59" s="30">
        <v>4.76</v>
      </c>
      <c r="J59" s="30">
        <v>6</v>
      </c>
      <c r="K59" s="30">
        <v>0</v>
      </c>
      <c r="L59" s="30">
        <v>3.52</v>
      </c>
      <c r="M59" s="30">
        <v>5.36</v>
      </c>
      <c r="N59" s="30">
        <v>0</v>
      </c>
      <c r="O59" s="30">
        <f t="shared" si="3"/>
        <v>39.480000000000004</v>
      </c>
    </row>
    <row r="60" spans="2:15" ht="15">
      <c r="B60" s="26" t="s">
        <v>18</v>
      </c>
      <c r="C60" s="42">
        <v>2.46</v>
      </c>
      <c r="D60" s="42">
        <v>5.12</v>
      </c>
      <c r="E60" s="42">
        <v>6.4</v>
      </c>
      <c r="F60" s="42">
        <v>5.42</v>
      </c>
      <c r="G60" s="42">
        <v>5.36</v>
      </c>
      <c r="H60" s="42">
        <v>5.74</v>
      </c>
      <c r="I60" s="42">
        <v>7.24</v>
      </c>
      <c r="J60" s="42">
        <v>13.58</v>
      </c>
      <c r="K60" s="42">
        <v>6.6</v>
      </c>
      <c r="L60" s="42">
        <v>6.62</v>
      </c>
      <c r="M60" s="42">
        <v>6.18</v>
      </c>
      <c r="N60" s="42">
        <v>7.5</v>
      </c>
      <c r="O60" s="42">
        <f>SUM(C60:N60)</f>
        <v>78.22</v>
      </c>
    </row>
    <row r="61" spans="2:15" ht="15">
      <c r="B61" s="29" t="s">
        <v>19</v>
      </c>
      <c r="C61" s="43">
        <v>1.64</v>
      </c>
      <c r="D61" s="43">
        <v>0.92</v>
      </c>
      <c r="E61" s="43">
        <v>0.98</v>
      </c>
      <c r="F61" s="30">
        <v>1.04</v>
      </c>
      <c r="G61" s="30">
        <v>1.8</v>
      </c>
      <c r="H61" s="30">
        <v>0.96</v>
      </c>
      <c r="I61" s="30">
        <v>1.86</v>
      </c>
      <c r="J61" s="30">
        <v>0.88</v>
      </c>
      <c r="K61" s="30">
        <v>1.94</v>
      </c>
      <c r="L61" s="30">
        <v>0.92</v>
      </c>
      <c r="M61" s="30">
        <v>1.02</v>
      </c>
      <c r="N61" s="30">
        <v>1.086</v>
      </c>
      <c r="O61" s="30">
        <f t="shared" si="3"/>
        <v>15.046</v>
      </c>
    </row>
    <row r="62" spans="2:15" ht="15">
      <c r="B62" s="26" t="s">
        <v>48</v>
      </c>
      <c r="C62" s="42">
        <f>SUM(C52:C61)</f>
        <v>175.3</v>
      </c>
      <c r="D62" s="42">
        <f aca="true" t="shared" si="4" ref="D62:N62">SUM(D52:D61)</f>
        <v>148.2</v>
      </c>
      <c r="E62" s="42">
        <f t="shared" si="4"/>
        <v>184.30999999999997</v>
      </c>
      <c r="F62" s="42">
        <f t="shared" si="4"/>
        <v>167.27999999999997</v>
      </c>
      <c r="G62" s="42">
        <f t="shared" si="4"/>
        <v>195.26000000000005</v>
      </c>
      <c r="H62" s="42">
        <f t="shared" si="4"/>
        <v>184.98000000000002</v>
      </c>
      <c r="I62" s="42">
        <f t="shared" si="4"/>
        <v>187.14</v>
      </c>
      <c r="J62" s="42">
        <f t="shared" si="4"/>
        <v>217.14000000000001</v>
      </c>
      <c r="K62" s="42">
        <f t="shared" si="4"/>
        <v>173.93999999999997</v>
      </c>
      <c r="L62" s="42">
        <f t="shared" si="4"/>
        <v>183.82000000000002</v>
      </c>
      <c r="M62" s="42">
        <f t="shared" si="4"/>
        <v>171.52000000000004</v>
      </c>
      <c r="N62" s="42">
        <f t="shared" si="4"/>
        <v>177.98600000000002</v>
      </c>
      <c r="O62" s="42">
        <f t="shared" si="3"/>
        <v>2166.8759999999997</v>
      </c>
    </row>
    <row r="63" ht="13.5" thickBot="1"/>
    <row r="64" spans="2:15" ht="15">
      <c r="B64" s="19" t="s">
        <v>88</v>
      </c>
      <c r="C64" s="20" t="s">
        <v>22</v>
      </c>
      <c r="D64" s="20" t="s">
        <v>23</v>
      </c>
      <c r="E64" s="20" t="s">
        <v>24</v>
      </c>
      <c r="F64" s="20" t="s">
        <v>25</v>
      </c>
      <c r="G64" s="20" t="s">
        <v>26</v>
      </c>
      <c r="H64" s="20" t="s">
        <v>27</v>
      </c>
      <c r="I64" s="20" t="s">
        <v>28</v>
      </c>
      <c r="J64" s="20" t="s">
        <v>29</v>
      </c>
      <c r="K64" s="20" t="s">
        <v>30</v>
      </c>
      <c r="L64" s="20" t="s">
        <v>31</v>
      </c>
      <c r="M64" s="20" t="s">
        <v>32</v>
      </c>
      <c r="N64" s="20" t="s">
        <v>33</v>
      </c>
      <c r="O64" s="21" t="s">
        <v>40</v>
      </c>
    </row>
    <row r="65" spans="2:15" ht="15">
      <c r="B65" s="26" t="s">
        <v>84</v>
      </c>
      <c r="C65" s="27">
        <v>604.78</v>
      </c>
      <c r="D65" s="27">
        <v>544.06</v>
      </c>
      <c r="E65" s="27">
        <v>601.6</v>
      </c>
      <c r="F65" s="27">
        <v>604.32</v>
      </c>
      <c r="G65" s="27">
        <v>695.76</v>
      </c>
      <c r="H65" s="27">
        <v>726.92</v>
      </c>
      <c r="I65" s="27">
        <v>669.82</v>
      </c>
      <c r="J65" s="27">
        <v>839.64</v>
      </c>
      <c r="K65" s="27">
        <v>702.18</v>
      </c>
      <c r="L65" s="27">
        <v>658.16</v>
      </c>
      <c r="M65" s="27">
        <v>576.36</v>
      </c>
      <c r="N65" s="27">
        <v>639.89</v>
      </c>
      <c r="O65" s="26">
        <f>SUM(C65:N65)</f>
        <v>7863.490000000001</v>
      </c>
    </row>
    <row r="67" spans="2:15" ht="15.75" thickBot="1">
      <c r="B67" s="45" t="s">
        <v>58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7"/>
    </row>
    <row r="68" spans="2:15" ht="15">
      <c r="B68" s="19" t="s">
        <v>21</v>
      </c>
      <c r="C68" s="20" t="s">
        <v>22</v>
      </c>
      <c r="D68" s="20" t="s">
        <v>23</v>
      </c>
      <c r="E68" s="20" t="s">
        <v>24</v>
      </c>
      <c r="F68" s="20" t="s">
        <v>25</v>
      </c>
      <c r="G68" s="20" t="s">
        <v>26</v>
      </c>
      <c r="H68" s="20" t="s">
        <v>27</v>
      </c>
      <c r="I68" s="20" t="s">
        <v>28</v>
      </c>
      <c r="J68" s="20" t="s">
        <v>29</v>
      </c>
      <c r="K68" s="20" t="s">
        <v>30</v>
      </c>
      <c r="L68" s="20" t="s">
        <v>31</v>
      </c>
      <c r="M68" s="20" t="s">
        <v>32</v>
      </c>
      <c r="N68" s="20" t="s">
        <v>33</v>
      </c>
      <c r="O68" s="21" t="s">
        <v>40</v>
      </c>
    </row>
    <row r="69" spans="2:15" ht="15">
      <c r="B69" s="26" t="s">
        <v>59</v>
      </c>
      <c r="C69" s="42">
        <v>62.9</v>
      </c>
      <c r="D69" s="42">
        <v>54.52</v>
      </c>
      <c r="E69" s="42">
        <v>66.32</v>
      </c>
      <c r="F69" s="42">
        <v>56.98</v>
      </c>
      <c r="G69" s="42">
        <v>63.48</v>
      </c>
      <c r="H69" s="42">
        <v>66.16</v>
      </c>
      <c r="I69" s="42">
        <v>58.48</v>
      </c>
      <c r="J69" s="42">
        <v>72.6</v>
      </c>
      <c r="K69" s="42">
        <v>76.08</v>
      </c>
      <c r="L69" s="42">
        <v>75.85</v>
      </c>
      <c r="M69" s="42">
        <v>70.44</v>
      </c>
      <c r="N69" s="42">
        <v>73.28</v>
      </c>
      <c r="O69" s="42">
        <f>SUM(C69:N69)</f>
        <v>797.0900000000001</v>
      </c>
    </row>
    <row r="70" spans="2:15" ht="15">
      <c r="B70" s="29" t="s">
        <v>60</v>
      </c>
      <c r="C70" s="30">
        <v>29.4</v>
      </c>
      <c r="D70" s="30">
        <v>26.02</v>
      </c>
      <c r="E70" s="30">
        <v>30.32</v>
      </c>
      <c r="F70" s="30">
        <v>28.28</v>
      </c>
      <c r="G70" s="30">
        <v>34.08</v>
      </c>
      <c r="H70" s="30">
        <v>31.58</v>
      </c>
      <c r="I70" s="30">
        <v>36.5</v>
      </c>
      <c r="J70" s="30">
        <v>35.34</v>
      </c>
      <c r="K70" s="30">
        <v>37.68</v>
      </c>
      <c r="L70" s="30">
        <v>44.72</v>
      </c>
      <c r="M70" s="30">
        <v>41.62</v>
      </c>
      <c r="N70" s="30">
        <v>31.08</v>
      </c>
      <c r="O70" s="30">
        <f>SUM(C70:N70)</f>
        <v>406.61999999999995</v>
      </c>
    </row>
    <row r="71" spans="2:15" ht="15">
      <c r="B71" s="26" t="s">
        <v>61</v>
      </c>
      <c r="C71" s="42">
        <v>17.2</v>
      </c>
      <c r="D71" s="42">
        <v>19.02</v>
      </c>
      <c r="E71" s="42">
        <v>22.5</v>
      </c>
      <c r="F71" s="42">
        <v>21.62</v>
      </c>
      <c r="G71" s="42">
        <v>21.84</v>
      </c>
      <c r="H71" s="42">
        <v>28.62</v>
      </c>
      <c r="I71" s="42">
        <v>25.76</v>
      </c>
      <c r="J71" s="42">
        <v>31.48</v>
      </c>
      <c r="K71" s="42">
        <v>21.24</v>
      </c>
      <c r="L71" s="42">
        <v>23.1</v>
      </c>
      <c r="M71" s="42">
        <v>21.92</v>
      </c>
      <c r="N71" s="42">
        <v>24.92</v>
      </c>
      <c r="O71" s="42">
        <f>SUM(C71:N71)</f>
        <v>279.22</v>
      </c>
    </row>
    <row r="72" spans="2:15" ht="15">
      <c r="B72" s="29" t="s">
        <v>62</v>
      </c>
      <c r="C72" s="30">
        <v>60.28</v>
      </c>
      <c r="D72" s="30">
        <v>51.52</v>
      </c>
      <c r="E72" s="30">
        <v>60.16</v>
      </c>
      <c r="F72" s="30">
        <v>60.84</v>
      </c>
      <c r="G72" s="30">
        <v>77.92</v>
      </c>
      <c r="H72" s="30">
        <v>57.42</v>
      </c>
      <c r="I72" s="30">
        <v>50.84</v>
      </c>
      <c r="J72" s="30">
        <v>65.48</v>
      </c>
      <c r="K72" s="30">
        <v>71.72</v>
      </c>
      <c r="L72" s="30">
        <v>65.5</v>
      </c>
      <c r="M72" s="30">
        <v>57.2</v>
      </c>
      <c r="N72" s="30">
        <v>57.3</v>
      </c>
      <c r="O72" s="30">
        <f>SUM(C72:N72)</f>
        <v>736.1800000000001</v>
      </c>
    </row>
    <row r="73" spans="2:15" ht="15">
      <c r="B73" s="26" t="s">
        <v>63</v>
      </c>
      <c r="C73" s="42">
        <f>5.226+18.547+5.227</f>
        <v>29</v>
      </c>
      <c r="D73" s="42">
        <f>5.68+16.1+5.68</f>
        <v>27.46</v>
      </c>
      <c r="E73" s="42">
        <f>8.967+13.386+8.967</f>
        <v>31.32</v>
      </c>
      <c r="F73" s="42">
        <v>30.38</v>
      </c>
      <c r="G73" s="42">
        <v>39.26</v>
      </c>
      <c r="H73" s="42">
        <v>36.04</v>
      </c>
      <c r="I73" s="42">
        <v>39.54</v>
      </c>
      <c r="J73" s="42">
        <v>42.22</v>
      </c>
      <c r="K73" s="42">
        <v>42.74</v>
      </c>
      <c r="L73" s="42">
        <v>43.26</v>
      </c>
      <c r="M73" s="42">
        <v>36.34</v>
      </c>
      <c r="N73" s="42">
        <v>33.08</v>
      </c>
      <c r="O73" s="42">
        <f>SUM(C73:N73)</f>
        <v>430.63999999999993</v>
      </c>
    </row>
    <row r="74" spans="2:15" ht="15">
      <c r="B74" s="29" t="s">
        <v>48</v>
      </c>
      <c r="C74" s="30">
        <f aca="true" t="shared" si="5" ref="C74:N74">SUM(C69:C73)</f>
        <v>198.78</v>
      </c>
      <c r="D74" s="30">
        <f t="shared" si="5"/>
        <v>178.54000000000002</v>
      </c>
      <c r="E74" s="30">
        <f t="shared" si="5"/>
        <v>210.61999999999998</v>
      </c>
      <c r="F74" s="30">
        <v>30.38</v>
      </c>
      <c r="G74" s="30">
        <v>39.26</v>
      </c>
      <c r="H74" s="30">
        <v>36.04</v>
      </c>
      <c r="I74" s="30">
        <f t="shared" si="5"/>
        <v>211.11999999999998</v>
      </c>
      <c r="J74" s="30">
        <f t="shared" si="5"/>
        <v>247.11999999999998</v>
      </c>
      <c r="K74" s="30">
        <f t="shared" si="5"/>
        <v>249.46</v>
      </c>
      <c r="L74" s="30">
        <f t="shared" si="5"/>
        <v>252.42999999999998</v>
      </c>
      <c r="M74" s="30">
        <f t="shared" si="5"/>
        <v>227.52</v>
      </c>
      <c r="N74" s="30">
        <f t="shared" si="5"/>
        <v>219.65999999999997</v>
      </c>
      <c r="O74" s="30">
        <f>SUM(C74:N74)</f>
        <v>2100.93</v>
      </c>
    </row>
    <row r="77" spans="2:15" ht="15.75" thickBot="1">
      <c r="B77" s="38" t="s">
        <v>64</v>
      </c>
      <c r="C77" s="51"/>
      <c r="D77" s="52"/>
      <c r="E77" s="52"/>
      <c r="F77" s="53"/>
      <c r="G77" s="52"/>
      <c r="H77" s="52"/>
      <c r="I77" s="52"/>
      <c r="J77" s="53"/>
      <c r="K77" s="52"/>
      <c r="L77" s="51"/>
      <c r="M77" s="51"/>
      <c r="N77" s="51"/>
      <c r="O77" s="39"/>
    </row>
    <row r="78" spans="2:15" ht="15">
      <c r="B78" s="19" t="s">
        <v>35</v>
      </c>
      <c r="C78" s="20" t="s">
        <v>22</v>
      </c>
      <c r="D78" s="20" t="s">
        <v>23</v>
      </c>
      <c r="E78" s="20" t="s">
        <v>24</v>
      </c>
      <c r="F78" s="20" t="s">
        <v>25</v>
      </c>
      <c r="G78" s="20" t="s">
        <v>26</v>
      </c>
      <c r="H78" s="20" t="s">
        <v>27</v>
      </c>
      <c r="I78" s="20" t="s">
        <v>28</v>
      </c>
      <c r="J78" s="20" t="s">
        <v>29</v>
      </c>
      <c r="K78" s="20" t="s">
        <v>30</v>
      </c>
      <c r="L78" s="20" t="s">
        <v>31</v>
      </c>
      <c r="M78" s="20" t="s">
        <v>32</v>
      </c>
      <c r="N78" s="20" t="s">
        <v>33</v>
      </c>
      <c r="O78" s="21" t="s">
        <v>40</v>
      </c>
    </row>
    <row r="79" spans="2:15" ht="15">
      <c r="B79" s="47" t="s">
        <v>65</v>
      </c>
      <c r="C79" s="48">
        <v>28.18</v>
      </c>
      <c r="D79" s="48">
        <v>28.120000000000005</v>
      </c>
      <c r="E79" s="48">
        <v>38.52</v>
      </c>
      <c r="F79" s="48">
        <v>31.06</v>
      </c>
      <c r="G79" s="48">
        <v>33.44</v>
      </c>
      <c r="H79" s="48">
        <v>43.1</v>
      </c>
      <c r="I79" s="48">
        <v>35.32</v>
      </c>
      <c r="J79" s="48">
        <v>50.14</v>
      </c>
      <c r="K79" s="48">
        <v>39.13</v>
      </c>
      <c r="L79" s="48">
        <v>39.56</v>
      </c>
      <c r="M79" s="48">
        <v>42.54</v>
      </c>
      <c r="N79" s="48">
        <v>30.32</v>
      </c>
      <c r="O79" s="48">
        <f>SUM(C79:N79)</f>
        <v>439.43</v>
      </c>
    </row>
    <row r="80" spans="2:15" ht="15">
      <c r="B80" s="49" t="s">
        <v>66</v>
      </c>
      <c r="C80" s="50">
        <v>43.78</v>
      </c>
      <c r="D80" s="50">
        <v>35.7</v>
      </c>
      <c r="E80" s="50">
        <v>75.9</v>
      </c>
      <c r="F80" s="50">
        <v>25</v>
      </c>
      <c r="G80" s="50">
        <v>32.1</v>
      </c>
      <c r="H80" s="50">
        <v>37.26</v>
      </c>
      <c r="I80" s="50">
        <v>28.92</v>
      </c>
      <c r="J80" s="50">
        <v>17.58</v>
      </c>
      <c r="K80" s="50">
        <v>31.84</v>
      </c>
      <c r="L80" s="50">
        <v>27</v>
      </c>
      <c r="M80" s="50">
        <v>75.42</v>
      </c>
      <c r="N80" s="50">
        <v>39.18</v>
      </c>
      <c r="O80" s="50">
        <f aca="true" t="shared" si="6" ref="O80:O90">SUM(C80:N80)</f>
        <v>469.67999999999995</v>
      </c>
    </row>
    <row r="81" spans="2:15" ht="15">
      <c r="B81" s="47" t="s">
        <v>67</v>
      </c>
      <c r="C81" s="48">
        <v>56.06</v>
      </c>
      <c r="D81" s="48">
        <v>51.26</v>
      </c>
      <c r="E81" s="48">
        <v>68.78</v>
      </c>
      <c r="F81" s="48">
        <v>54.4</v>
      </c>
      <c r="G81" s="48">
        <v>69.54</v>
      </c>
      <c r="H81" s="48">
        <v>59.96</v>
      </c>
      <c r="I81" s="48">
        <v>55.62</v>
      </c>
      <c r="J81" s="48">
        <v>73.18</v>
      </c>
      <c r="K81" s="48">
        <v>69.7</v>
      </c>
      <c r="L81" s="48">
        <v>64.08</v>
      </c>
      <c r="M81" s="48">
        <v>82.88</v>
      </c>
      <c r="N81" s="48">
        <v>68.76</v>
      </c>
      <c r="O81" s="48">
        <f t="shared" si="6"/>
        <v>774.22</v>
      </c>
    </row>
    <row r="82" spans="2:15" ht="15">
      <c r="B82" s="49" t="s">
        <v>68</v>
      </c>
      <c r="C82" s="50">
        <v>825.5</v>
      </c>
      <c r="D82" s="50">
        <v>758.34</v>
      </c>
      <c r="E82" s="50">
        <v>905.18</v>
      </c>
      <c r="F82" s="50">
        <v>919.92</v>
      </c>
      <c r="G82" s="50">
        <v>1010.12</v>
      </c>
      <c r="H82" s="50">
        <v>952.36</v>
      </c>
      <c r="I82" s="50">
        <v>977</v>
      </c>
      <c r="J82" s="50">
        <v>1115.8</v>
      </c>
      <c r="K82" s="50">
        <v>1067.35</v>
      </c>
      <c r="L82" s="50">
        <v>1019.4</v>
      </c>
      <c r="M82" s="50">
        <v>889.58</v>
      </c>
      <c r="N82" s="50">
        <v>862.84</v>
      </c>
      <c r="O82" s="50">
        <f t="shared" si="6"/>
        <v>11303.39</v>
      </c>
    </row>
    <row r="83" spans="2:15" ht="15">
      <c r="B83" s="47" t="s">
        <v>36</v>
      </c>
      <c r="C83" s="48">
        <v>7.71</v>
      </c>
      <c r="D83" s="48">
        <v>6.86</v>
      </c>
      <c r="E83" s="48">
        <v>0.5</v>
      </c>
      <c r="F83" s="48">
        <v>0</v>
      </c>
      <c r="G83" s="48">
        <v>2.86</v>
      </c>
      <c r="H83" s="48">
        <v>12.78</v>
      </c>
      <c r="I83" s="48">
        <v>1.96</v>
      </c>
      <c r="J83" s="48">
        <v>0</v>
      </c>
      <c r="K83" s="48">
        <v>1.1</v>
      </c>
      <c r="L83" s="48">
        <v>2.28</v>
      </c>
      <c r="M83" s="48">
        <v>12.36</v>
      </c>
      <c r="N83" s="48">
        <v>5.3</v>
      </c>
      <c r="O83" s="48">
        <f t="shared" si="6"/>
        <v>53.71</v>
      </c>
    </row>
    <row r="84" spans="2:15" ht="15">
      <c r="B84" s="49" t="s">
        <v>69</v>
      </c>
      <c r="C84" s="50">
        <v>29.34</v>
      </c>
      <c r="D84" s="50">
        <v>23.120000000000005</v>
      </c>
      <c r="E84" s="50">
        <v>27.16</v>
      </c>
      <c r="F84" s="50">
        <v>23.62</v>
      </c>
      <c r="G84" s="50">
        <v>30.08</v>
      </c>
      <c r="H84" s="50">
        <v>30.26</v>
      </c>
      <c r="I84" s="50">
        <v>31.98</v>
      </c>
      <c r="J84" s="50">
        <v>37.3</v>
      </c>
      <c r="K84" s="50">
        <v>37.42</v>
      </c>
      <c r="L84" s="50">
        <v>45.1</v>
      </c>
      <c r="M84" s="50">
        <v>37.46</v>
      </c>
      <c r="N84" s="50">
        <v>30.34</v>
      </c>
      <c r="O84" s="50">
        <f t="shared" si="6"/>
        <v>383.17999999999995</v>
      </c>
    </row>
    <row r="85" spans="2:15" ht="15">
      <c r="B85" s="47" t="s">
        <v>70</v>
      </c>
      <c r="C85" s="48">
        <v>39.38</v>
      </c>
      <c r="D85" s="48">
        <v>22.2</v>
      </c>
      <c r="E85" s="48">
        <v>34.56</v>
      </c>
      <c r="F85" s="48">
        <v>35.92</v>
      </c>
      <c r="G85" s="48">
        <v>65.28</v>
      </c>
      <c r="H85" s="48">
        <v>36.84</v>
      </c>
      <c r="I85" s="48">
        <v>3.46</v>
      </c>
      <c r="J85" s="48">
        <v>29.7</v>
      </c>
      <c r="K85" s="48">
        <v>13.46</v>
      </c>
      <c r="L85" s="48">
        <v>27.6</v>
      </c>
      <c r="M85" s="48">
        <v>37.86</v>
      </c>
      <c r="N85" s="48">
        <v>3.7</v>
      </c>
      <c r="O85" s="48">
        <f t="shared" si="6"/>
        <v>349.96000000000004</v>
      </c>
    </row>
    <row r="86" spans="2:15" ht="15">
      <c r="B86" s="49" t="s">
        <v>62</v>
      </c>
      <c r="C86" s="50">
        <v>60.980000000000004</v>
      </c>
      <c r="D86" s="50">
        <v>51.4</v>
      </c>
      <c r="E86" s="50">
        <v>61.98</v>
      </c>
      <c r="F86" s="50">
        <v>57.7</v>
      </c>
      <c r="G86" s="50">
        <v>76.18</v>
      </c>
      <c r="H86" s="50">
        <v>62.4</v>
      </c>
      <c r="I86" s="50">
        <v>45.44</v>
      </c>
      <c r="J86" s="50">
        <v>63.3</v>
      </c>
      <c r="K86" s="50">
        <v>74.8</v>
      </c>
      <c r="L86" s="50">
        <v>65.6</v>
      </c>
      <c r="M86" s="50">
        <v>66.36</v>
      </c>
      <c r="N86" s="50">
        <v>64.08</v>
      </c>
      <c r="O86" s="50">
        <f t="shared" si="6"/>
        <v>750.22</v>
      </c>
    </row>
    <row r="87" spans="2:15" ht="15">
      <c r="B87" s="47" t="s">
        <v>71</v>
      </c>
      <c r="C87" s="48">
        <v>0</v>
      </c>
      <c r="D87" s="48">
        <v>11.68</v>
      </c>
      <c r="E87" s="48">
        <v>4.4</v>
      </c>
      <c r="F87" s="48"/>
      <c r="G87" s="48">
        <v>16.4</v>
      </c>
      <c r="H87" s="48">
        <v>6.66</v>
      </c>
      <c r="I87" s="48">
        <v>11.12</v>
      </c>
      <c r="J87" s="48">
        <v>11.38</v>
      </c>
      <c r="K87" s="48">
        <v>11.42</v>
      </c>
      <c r="L87" s="48">
        <v>38.94</v>
      </c>
      <c r="M87" s="48">
        <v>66.72</v>
      </c>
      <c r="N87" s="48">
        <v>18.92</v>
      </c>
      <c r="O87" s="48">
        <f t="shared" si="6"/>
        <v>197.64</v>
      </c>
    </row>
    <row r="88" spans="2:15" ht="15">
      <c r="B88" s="49" t="s">
        <v>7</v>
      </c>
      <c r="C88" s="50">
        <v>14.88</v>
      </c>
      <c r="D88" s="50">
        <v>18.02</v>
      </c>
      <c r="E88" s="50">
        <v>22.06</v>
      </c>
      <c r="F88" s="50">
        <v>18.16</v>
      </c>
      <c r="G88" s="50">
        <v>24.76</v>
      </c>
      <c r="H88" s="50">
        <v>19.54</v>
      </c>
      <c r="I88" s="50">
        <v>20.18</v>
      </c>
      <c r="J88" s="50">
        <v>27.48</v>
      </c>
      <c r="K88" s="50">
        <v>17.54</v>
      </c>
      <c r="L88" s="50">
        <v>19.44</v>
      </c>
      <c r="M88" s="50">
        <v>23.3</v>
      </c>
      <c r="N88" s="50">
        <v>17.95</v>
      </c>
      <c r="O88" s="50">
        <f t="shared" si="6"/>
        <v>243.30999999999997</v>
      </c>
    </row>
    <row r="89" spans="2:15" ht="15">
      <c r="B89" s="47" t="s">
        <v>37</v>
      </c>
      <c r="C89" s="48">
        <v>53.9</v>
      </c>
      <c r="D89" s="48">
        <v>0</v>
      </c>
      <c r="E89" s="48">
        <v>0</v>
      </c>
      <c r="F89" s="48">
        <v>19.5</v>
      </c>
      <c r="G89" s="48">
        <v>58.46</v>
      </c>
      <c r="H89" s="48">
        <v>73.32</v>
      </c>
      <c r="I89" s="48">
        <v>9.46</v>
      </c>
      <c r="J89" s="48">
        <v>9.7</v>
      </c>
      <c r="K89" s="48">
        <v>0</v>
      </c>
      <c r="L89" s="48">
        <v>6.52</v>
      </c>
      <c r="M89" s="48">
        <v>6.48</v>
      </c>
      <c r="N89" s="48">
        <v>0</v>
      </c>
      <c r="O89" s="48">
        <f t="shared" si="6"/>
        <v>237.34</v>
      </c>
    </row>
    <row r="90" spans="2:15" ht="15">
      <c r="B90" s="49" t="s">
        <v>38</v>
      </c>
      <c r="C90" s="50">
        <v>32.04</v>
      </c>
      <c r="D90" s="50">
        <v>25.48</v>
      </c>
      <c r="E90" s="50">
        <v>26.4</v>
      </c>
      <c r="F90" s="50">
        <v>26.72</v>
      </c>
      <c r="G90" s="50">
        <v>42.56</v>
      </c>
      <c r="H90" s="50">
        <v>30.620000000000005</v>
      </c>
      <c r="I90" s="50">
        <v>33.5</v>
      </c>
      <c r="J90" s="50">
        <v>46.04</v>
      </c>
      <c r="K90" s="50">
        <v>48.2</v>
      </c>
      <c r="L90" s="50">
        <v>69.43</v>
      </c>
      <c r="M90" s="50">
        <v>35.78</v>
      </c>
      <c r="N90" s="50">
        <v>30.52</v>
      </c>
      <c r="O90" s="50">
        <f t="shared" si="6"/>
        <v>447.28999999999996</v>
      </c>
    </row>
    <row r="91" spans="2:15" ht="15">
      <c r="B91" s="47" t="s">
        <v>39</v>
      </c>
      <c r="C91" s="48">
        <f>SUM(C79:C90)</f>
        <v>1191.7500000000002</v>
      </c>
      <c r="D91" s="48">
        <f aca="true" t="shared" si="7" ref="D91:N91">SUM(D79:D90)</f>
        <v>1032.18</v>
      </c>
      <c r="E91" s="48">
        <f t="shared" si="7"/>
        <v>1265.44</v>
      </c>
      <c r="F91" s="48">
        <f t="shared" si="7"/>
        <v>1212</v>
      </c>
      <c r="G91" s="48">
        <f>SUM(G79:G90)</f>
        <v>1461.78</v>
      </c>
      <c r="H91" s="48">
        <f t="shared" si="7"/>
        <v>1365.1</v>
      </c>
      <c r="I91" s="48">
        <f t="shared" si="7"/>
        <v>1253.9600000000003</v>
      </c>
      <c r="J91" s="48">
        <f t="shared" si="7"/>
        <v>1481.6000000000001</v>
      </c>
      <c r="K91" s="48">
        <f t="shared" si="7"/>
        <v>1411.96</v>
      </c>
      <c r="L91" s="48">
        <f t="shared" si="7"/>
        <v>1424.9499999999998</v>
      </c>
      <c r="M91" s="48">
        <f t="shared" si="7"/>
        <v>1376.7399999999998</v>
      </c>
      <c r="N91" s="48">
        <f t="shared" si="7"/>
        <v>1171.91</v>
      </c>
      <c r="O91" s="48">
        <f>SUM(C91:N91)</f>
        <v>15649.37</v>
      </c>
    </row>
  </sheetData>
  <sheetProtection/>
  <printOptions/>
  <pageMargins left="0.75" right="0.75" top="1" bottom="1" header="0" footer="0"/>
  <pageSetup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O45"/>
  <sheetViews>
    <sheetView showGridLines="0" zoomScalePageLayoutView="0" workbookViewId="0" topLeftCell="A1">
      <selection activeCell="C11" sqref="C10:C11"/>
    </sheetView>
  </sheetViews>
  <sheetFormatPr defaultColWidth="11.421875" defaultRowHeight="12.75"/>
  <cols>
    <col min="2" max="2" width="95.421875" style="0" bestFit="1" customWidth="1"/>
    <col min="3" max="3" width="21.7109375" style="0" customWidth="1"/>
    <col min="4" max="4" width="15.7109375" style="0" customWidth="1"/>
    <col min="12" max="12" width="15.7109375" style="0" customWidth="1"/>
    <col min="13" max="13" width="13.28125" style="0" customWidth="1"/>
    <col min="14" max="14" width="15.28125" style="0" customWidth="1"/>
    <col min="15" max="15" width="14.8515625" style="0" customWidth="1"/>
  </cols>
  <sheetData>
    <row r="7" spans="1:12" s="2" customFormat="1" ht="12.75">
      <c r="A7" s="4" t="s">
        <v>0</v>
      </c>
      <c r="B7" s="5" t="str">
        <f>Índice!C7</f>
        <v>2200311 GESTIÓN DE RESIDUOS DENTRO DEL CONSORCIO PARA EL TRATAMIENTO DE LOS RESIDUOS URBANOS DE NAVARRA </v>
      </c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.75">
      <c r="A8" s="4" t="s">
        <v>1</v>
      </c>
      <c r="B8" s="5" t="str">
        <f>Índice!C8</f>
        <v>2017-2020</v>
      </c>
      <c r="E8" s="3"/>
      <c r="F8" s="3"/>
      <c r="G8" s="3"/>
      <c r="H8" s="3"/>
      <c r="I8" s="3"/>
      <c r="J8" s="3"/>
      <c r="K8" s="3"/>
      <c r="L8" s="3"/>
    </row>
    <row r="9" spans="1:12" s="2" customFormat="1" ht="12.75">
      <c r="A9" s="4" t="s">
        <v>2</v>
      </c>
      <c r="B9" s="5">
        <v>2017</v>
      </c>
      <c r="E9" s="3"/>
      <c r="F9" s="3"/>
      <c r="G9" s="3"/>
      <c r="H9" s="3"/>
      <c r="I9" s="3"/>
      <c r="J9" s="3"/>
      <c r="K9" s="3"/>
      <c r="L9" s="3"/>
    </row>
    <row r="10" spans="1:12" s="2" customFormat="1" ht="12.75">
      <c r="A10" s="14"/>
      <c r="B10" s="4"/>
      <c r="C10" s="5"/>
      <c r="E10" s="3"/>
      <c r="F10" s="3"/>
      <c r="G10" s="3"/>
      <c r="H10" s="3"/>
      <c r="I10" s="3"/>
      <c r="J10" s="3"/>
      <c r="K10" s="3"/>
      <c r="L10" s="3"/>
    </row>
    <row r="12" ht="12.75">
      <c r="B12" s="12" t="s">
        <v>5</v>
      </c>
    </row>
    <row r="13" ht="12.75">
      <c r="B13" s="12"/>
    </row>
    <row r="14" ht="13.5" thickBot="1"/>
    <row r="15" spans="2:15" ht="15">
      <c r="B15" s="54" t="s">
        <v>72</v>
      </c>
      <c r="C15" s="59" t="s">
        <v>22</v>
      </c>
      <c r="D15" s="59" t="s">
        <v>23</v>
      </c>
      <c r="E15" s="59" t="s">
        <v>24</v>
      </c>
      <c r="F15" s="59" t="s">
        <v>25</v>
      </c>
      <c r="G15" s="59" t="s">
        <v>26</v>
      </c>
      <c r="H15" s="59" t="s">
        <v>27</v>
      </c>
      <c r="I15" s="59" t="s">
        <v>28</v>
      </c>
      <c r="J15" s="59" t="s">
        <v>29</v>
      </c>
      <c r="K15" s="59" t="s">
        <v>30</v>
      </c>
      <c r="L15" s="59" t="s">
        <v>31</v>
      </c>
      <c r="M15" s="59" t="s">
        <v>32</v>
      </c>
      <c r="N15" s="59" t="s">
        <v>33</v>
      </c>
      <c r="O15" s="60" t="s">
        <v>40</v>
      </c>
    </row>
    <row r="16" spans="2:15" ht="15">
      <c r="B16" s="55" t="s">
        <v>73</v>
      </c>
      <c r="C16" s="56">
        <v>5121.06</v>
      </c>
      <c r="D16" s="56">
        <v>4568.04</v>
      </c>
      <c r="E16" s="56">
        <v>5458.36</v>
      </c>
      <c r="F16" s="56">
        <v>5396.46</v>
      </c>
      <c r="G16" s="56">
        <v>5817.219999999999</v>
      </c>
      <c r="H16" s="56">
        <v>5834</v>
      </c>
      <c r="I16" s="56">
        <v>5966.08</v>
      </c>
      <c r="J16" s="56">
        <v>6882.87</v>
      </c>
      <c r="K16" s="56">
        <v>6147.42</v>
      </c>
      <c r="L16" s="56">
        <v>6011.04</v>
      </c>
      <c r="M16" s="56">
        <v>5181.38</v>
      </c>
      <c r="N16" s="56">
        <v>5312.76</v>
      </c>
      <c r="O16" s="56">
        <f>SUM(C16:N16)</f>
        <v>67696.69</v>
      </c>
    </row>
    <row r="17" spans="2:15" ht="15">
      <c r="B17" s="57" t="s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0.54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f aca="true" t="shared" si="0" ref="O17:O26">SUM(C17:N17)</f>
        <v>0.54</v>
      </c>
    </row>
    <row r="18" spans="2:15" ht="15">
      <c r="B18" s="55" t="s">
        <v>75</v>
      </c>
      <c r="C18" s="56">
        <v>467.18</v>
      </c>
      <c r="D18" s="56">
        <v>484.3</v>
      </c>
      <c r="E18" s="56">
        <v>580.72</v>
      </c>
      <c r="F18" s="56">
        <v>455.17999999999995</v>
      </c>
      <c r="G18" s="56">
        <v>558.3399999999999</v>
      </c>
      <c r="H18" s="56">
        <v>533</v>
      </c>
      <c r="I18" s="56">
        <v>492.6</v>
      </c>
      <c r="J18" s="56">
        <v>444.68</v>
      </c>
      <c r="K18" s="56">
        <v>415.66</v>
      </c>
      <c r="L18" s="56">
        <v>465.76</v>
      </c>
      <c r="M18" s="56">
        <v>387.2</v>
      </c>
      <c r="N18" s="56">
        <v>380.48</v>
      </c>
      <c r="O18" s="56">
        <f t="shared" si="0"/>
        <v>5665.1</v>
      </c>
    </row>
    <row r="19" spans="2:15" ht="15">
      <c r="B19" s="57" t="s">
        <v>76</v>
      </c>
      <c r="C19" s="58">
        <v>975.09</v>
      </c>
      <c r="D19" s="58">
        <v>903.76</v>
      </c>
      <c r="E19" s="58">
        <v>1087.36</v>
      </c>
      <c r="F19" s="58">
        <v>1065.24</v>
      </c>
      <c r="G19" s="58">
        <v>1198.72</v>
      </c>
      <c r="H19" s="58">
        <v>1087.74</v>
      </c>
      <c r="I19" s="58">
        <v>1126.76</v>
      </c>
      <c r="J19" s="58">
        <v>1317.1200000000001</v>
      </c>
      <c r="K19" s="58">
        <v>1241.83</v>
      </c>
      <c r="L19" s="58">
        <v>1186.44</v>
      </c>
      <c r="M19" s="58">
        <v>1101.94</v>
      </c>
      <c r="N19" s="58">
        <v>1036.26</v>
      </c>
      <c r="O19" s="58">
        <f t="shared" si="0"/>
        <v>13328.260000000002</v>
      </c>
    </row>
    <row r="20" spans="2:15" ht="15">
      <c r="B20" s="55" t="s">
        <v>90</v>
      </c>
      <c r="C20" s="56">
        <v>604.78</v>
      </c>
      <c r="D20" s="56">
        <v>544.06</v>
      </c>
      <c r="E20" s="56">
        <v>601.6</v>
      </c>
      <c r="F20" s="56">
        <v>604.32</v>
      </c>
      <c r="G20" s="56">
        <v>695.76</v>
      </c>
      <c r="H20" s="56">
        <v>726.92</v>
      </c>
      <c r="I20" s="56">
        <v>669.92</v>
      </c>
      <c r="J20" s="56">
        <v>839.64</v>
      </c>
      <c r="K20" s="56">
        <v>702.18</v>
      </c>
      <c r="L20" s="56">
        <v>658.16</v>
      </c>
      <c r="M20" s="56">
        <v>576.36</v>
      </c>
      <c r="N20" s="56">
        <v>639.89</v>
      </c>
      <c r="O20" s="56">
        <f t="shared" si="0"/>
        <v>7863.590000000001</v>
      </c>
    </row>
    <row r="21" spans="2:15" ht="15">
      <c r="B21" s="57" t="s">
        <v>77</v>
      </c>
      <c r="C21" s="58">
        <v>105.86</v>
      </c>
      <c r="D21" s="58">
        <v>101.46</v>
      </c>
      <c r="E21" s="58">
        <v>137.34</v>
      </c>
      <c r="F21" s="58">
        <v>108.92</v>
      </c>
      <c r="G21" s="58">
        <v>133.3</v>
      </c>
      <c r="H21" s="58">
        <v>149.32</v>
      </c>
      <c r="I21" s="58">
        <v>144.32</v>
      </c>
      <c r="J21" s="58">
        <v>190.4</v>
      </c>
      <c r="K21" s="58">
        <v>119.5</v>
      </c>
      <c r="L21" s="58">
        <v>133.78</v>
      </c>
      <c r="M21" s="58">
        <v>192.7</v>
      </c>
      <c r="N21" s="58">
        <v>95.22</v>
      </c>
      <c r="O21" s="58">
        <f t="shared" si="0"/>
        <v>1612.1200000000001</v>
      </c>
    </row>
    <row r="22" spans="2:15" ht="15">
      <c r="B22" s="55" t="s">
        <v>78</v>
      </c>
      <c r="C22" s="56">
        <v>124.42</v>
      </c>
      <c r="D22" s="56">
        <v>108.25</v>
      </c>
      <c r="E22" s="56">
        <v>130.19</v>
      </c>
      <c r="F22" s="56">
        <v>79.71</v>
      </c>
      <c r="G22" s="56">
        <v>166.46</v>
      </c>
      <c r="H22" s="56">
        <v>156.3</v>
      </c>
      <c r="I22" s="56">
        <v>125.82</v>
      </c>
      <c r="J22" s="56">
        <v>159.78</v>
      </c>
      <c r="K22" s="56">
        <v>121.64</v>
      </c>
      <c r="L22" s="56">
        <v>184.21</v>
      </c>
      <c r="M22" s="56">
        <v>117.34</v>
      </c>
      <c r="N22" s="56">
        <v>94.66</v>
      </c>
      <c r="O22" s="56">
        <f t="shared" si="0"/>
        <v>1568.78</v>
      </c>
    </row>
    <row r="23" spans="2:15" ht="15">
      <c r="B23" s="57" t="s">
        <v>81</v>
      </c>
      <c r="C23" s="58">
        <v>150.54</v>
      </c>
      <c r="D23" s="58">
        <v>128.12</v>
      </c>
      <c r="E23" s="58">
        <v>154.06</v>
      </c>
      <c r="F23" s="58">
        <v>139.1</v>
      </c>
      <c r="G23" s="58">
        <v>182.26</v>
      </c>
      <c r="H23" s="58">
        <v>166.38</v>
      </c>
      <c r="I23" s="58">
        <v>146.24</v>
      </c>
      <c r="J23" s="58">
        <v>196.78</v>
      </c>
      <c r="K23" s="58">
        <v>199.55</v>
      </c>
      <c r="L23" s="58">
        <v>219.69</v>
      </c>
      <c r="M23" s="58">
        <v>182.14000000000001</v>
      </c>
      <c r="N23" s="58">
        <v>155.26</v>
      </c>
      <c r="O23" s="58">
        <f t="shared" si="0"/>
        <v>2020.12</v>
      </c>
    </row>
    <row r="24" spans="2:15" ht="15">
      <c r="B24" s="55" t="s">
        <v>79</v>
      </c>
      <c r="C24" s="56">
        <v>222.40000000000003</v>
      </c>
      <c r="D24" s="56">
        <v>201.14999999999998</v>
      </c>
      <c r="E24" s="56">
        <v>242.62</v>
      </c>
      <c r="F24" s="56">
        <v>223.51</v>
      </c>
      <c r="G24" s="56">
        <v>263.71</v>
      </c>
      <c r="H24" s="56">
        <v>249.74</v>
      </c>
      <c r="I24" s="56">
        <v>243.29999999999998</v>
      </c>
      <c r="J24" s="56">
        <v>297.12</v>
      </c>
      <c r="K24" s="56">
        <v>245.32</v>
      </c>
      <c r="L24" s="56">
        <v>246.16</v>
      </c>
      <c r="M24" s="56">
        <v>240.96</v>
      </c>
      <c r="N24" s="56">
        <v>226.64</v>
      </c>
      <c r="O24" s="56">
        <f t="shared" si="0"/>
        <v>2902.63</v>
      </c>
    </row>
    <row r="25" spans="2:15" ht="15">
      <c r="B25" s="57" t="s">
        <v>80</v>
      </c>
      <c r="C25" s="58">
        <v>144.77</v>
      </c>
      <c r="D25" s="58">
        <v>76.44</v>
      </c>
      <c r="E25" s="58">
        <v>115.36000000000001</v>
      </c>
      <c r="F25" s="58">
        <v>80.42</v>
      </c>
      <c r="G25" s="58">
        <v>175.10000000000002</v>
      </c>
      <c r="H25" s="58">
        <v>166.85999999999999</v>
      </c>
      <c r="I25" s="58">
        <v>54.92</v>
      </c>
      <c r="J25" s="58">
        <v>68.36</v>
      </c>
      <c r="K25" s="58">
        <v>57.82</v>
      </c>
      <c r="L25" s="58">
        <v>102.33999999999999</v>
      </c>
      <c r="M25" s="58">
        <v>198.84</v>
      </c>
      <c r="N25" s="58">
        <v>67.1</v>
      </c>
      <c r="O25" s="58">
        <f t="shared" si="0"/>
        <v>1308.33</v>
      </c>
    </row>
    <row r="26" spans="2:15" ht="15">
      <c r="B26" s="55" t="s">
        <v>48</v>
      </c>
      <c r="C26" s="56">
        <v>7916.1</v>
      </c>
      <c r="D26" s="56">
        <v>7115.579999999999</v>
      </c>
      <c r="E26" s="56">
        <v>8507.61</v>
      </c>
      <c r="F26" s="56">
        <v>8072.4400000000005</v>
      </c>
      <c r="G26" s="56">
        <v>9015.769999999997</v>
      </c>
      <c r="H26" s="56">
        <v>8903.939999999999</v>
      </c>
      <c r="I26" s="56">
        <v>8915.039999999999</v>
      </c>
      <c r="J26" s="56">
        <v>10328.390000000001</v>
      </c>
      <c r="K26" s="56">
        <v>9193.099999999999</v>
      </c>
      <c r="L26" s="56">
        <v>9105.24</v>
      </c>
      <c r="M26" s="56">
        <v>7980.02</v>
      </c>
      <c r="N26" s="56">
        <v>7941.170000000001</v>
      </c>
      <c r="O26" s="56">
        <f t="shared" si="0"/>
        <v>102994.40000000001</v>
      </c>
    </row>
    <row r="28" ht="13.5" thickBot="1"/>
    <row r="29" spans="2:6" ht="30">
      <c r="B29" s="61"/>
      <c r="C29" s="62" t="s">
        <v>87</v>
      </c>
      <c r="D29" s="62" t="s">
        <v>82</v>
      </c>
      <c r="E29" s="62" t="s">
        <v>83</v>
      </c>
      <c r="F29" s="62" t="s">
        <v>86</v>
      </c>
    </row>
    <row r="30" spans="2:6" ht="15">
      <c r="B30" s="26" t="s">
        <v>7</v>
      </c>
      <c r="C30" s="63">
        <v>41</v>
      </c>
      <c r="D30" s="63"/>
      <c r="E30" s="63">
        <f>C30+D30</f>
        <v>41</v>
      </c>
      <c r="F30" s="63">
        <f>E30*2.6*186*365/1000/1000</f>
        <v>7.237074000000001</v>
      </c>
    </row>
    <row r="31" spans="2:6" ht="15">
      <c r="B31" s="29" t="s">
        <v>84</v>
      </c>
      <c r="C31" s="64">
        <v>239</v>
      </c>
      <c r="D31" s="64"/>
      <c r="E31" s="64">
        <f aca="true" t="shared" si="1" ref="E31:E43">C31+D31</f>
        <v>239</v>
      </c>
      <c r="F31" s="64">
        <f>E31*2.6*186*365/1000/1000</f>
        <v>42.186845999999996</v>
      </c>
    </row>
    <row r="32" spans="2:6" ht="15">
      <c r="B32" s="26" t="s">
        <v>8</v>
      </c>
      <c r="C32" s="63">
        <v>17</v>
      </c>
      <c r="D32" s="63"/>
      <c r="E32" s="63">
        <f t="shared" si="1"/>
        <v>17</v>
      </c>
      <c r="F32" s="63">
        <f>E32*2.6*186*365/1000/1000</f>
        <v>3.000738</v>
      </c>
    </row>
    <row r="33" spans="2:6" ht="15">
      <c r="B33" s="29" t="s">
        <v>9</v>
      </c>
      <c r="C33" s="64">
        <v>327</v>
      </c>
      <c r="D33" s="64">
        <v>7</v>
      </c>
      <c r="E33" s="64">
        <f t="shared" si="1"/>
        <v>334</v>
      </c>
      <c r="F33" s="64">
        <f>E33*2.6*186*365/1000/1000</f>
        <v>58.955676</v>
      </c>
    </row>
    <row r="34" spans="2:6" ht="15">
      <c r="B34" s="26" t="s">
        <v>10</v>
      </c>
      <c r="C34" s="63">
        <v>1780</v>
      </c>
      <c r="D34" s="63">
        <v>2579</v>
      </c>
      <c r="E34" s="63">
        <f t="shared" si="1"/>
        <v>4359</v>
      </c>
      <c r="F34" s="63">
        <v>1457</v>
      </c>
    </row>
    <row r="35" spans="2:6" ht="15">
      <c r="B35" s="29" t="s">
        <v>11</v>
      </c>
      <c r="C35" s="64">
        <v>357</v>
      </c>
      <c r="D35" s="64">
        <v>50</v>
      </c>
      <c r="E35" s="64">
        <f t="shared" si="1"/>
        <v>407</v>
      </c>
      <c r="F35" s="64">
        <f>E35*2.6*186*365/1000/1000</f>
        <v>71.841198</v>
      </c>
    </row>
    <row r="36" spans="2:6" ht="15">
      <c r="B36" s="26" t="s">
        <v>12</v>
      </c>
      <c r="C36" s="63">
        <v>136</v>
      </c>
      <c r="D36" s="63"/>
      <c r="E36" s="63">
        <f t="shared" si="1"/>
        <v>136</v>
      </c>
      <c r="F36" s="63">
        <f>E36*2.6*186*365/1000/1000</f>
        <v>24.005904</v>
      </c>
    </row>
    <row r="37" spans="2:6" ht="15">
      <c r="B37" s="29" t="s">
        <v>13</v>
      </c>
      <c r="C37" s="64">
        <v>768</v>
      </c>
      <c r="D37" s="64">
        <v>333</v>
      </c>
      <c r="E37" s="64">
        <f t="shared" si="1"/>
        <v>1101</v>
      </c>
      <c r="F37" s="64">
        <f>135.56+58.78</f>
        <v>194.34</v>
      </c>
    </row>
    <row r="38" spans="2:6" ht="15">
      <c r="B38" s="26" t="s">
        <v>20</v>
      </c>
      <c r="C38" s="63">
        <v>575</v>
      </c>
      <c r="D38" s="63">
        <v>379</v>
      </c>
      <c r="E38" s="63">
        <f t="shared" si="1"/>
        <v>954</v>
      </c>
      <c r="F38" s="63">
        <v>168.39</v>
      </c>
    </row>
    <row r="39" spans="2:6" ht="15">
      <c r="B39" s="29" t="s">
        <v>85</v>
      </c>
      <c r="C39" s="64">
        <v>310</v>
      </c>
      <c r="D39" s="64">
        <v>368</v>
      </c>
      <c r="E39" s="64">
        <f t="shared" si="1"/>
        <v>678</v>
      </c>
      <c r="F39" s="64">
        <f>79.01+48.39</f>
        <v>127.4</v>
      </c>
    </row>
    <row r="40" spans="2:6" ht="15">
      <c r="B40" s="26" t="s">
        <v>15</v>
      </c>
      <c r="C40" s="63">
        <v>439</v>
      </c>
      <c r="D40" s="63">
        <v>108</v>
      </c>
      <c r="E40" s="63">
        <f t="shared" si="1"/>
        <v>547</v>
      </c>
      <c r="F40" s="63">
        <f>77.49+19.06</f>
        <v>96.55</v>
      </c>
    </row>
    <row r="41" spans="2:6" ht="15">
      <c r="B41" s="29" t="s">
        <v>16</v>
      </c>
      <c r="C41" s="64">
        <v>420</v>
      </c>
      <c r="D41" s="64">
        <v>251</v>
      </c>
      <c r="E41" s="64">
        <f t="shared" si="1"/>
        <v>671</v>
      </c>
      <c r="F41" s="64">
        <v>128</v>
      </c>
    </row>
    <row r="42" spans="2:6" ht="15">
      <c r="B42" s="26" t="s">
        <v>17</v>
      </c>
      <c r="C42" s="63">
        <v>174</v>
      </c>
      <c r="D42" s="63"/>
      <c r="E42" s="63">
        <f t="shared" si="1"/>
        <v>174</v>
      </c>
      <c r="F42" s="63">
        <f>E42*2.6*186*365/1000/1000</f>
        <v>30.713436000000005</v>
      </c>
    </row>
    <row r="43" spans="2:6" ht="15">
      <c r="B43" s="29" t="s">
        <v>18</v>
      </c>
      <c r="C43" s="64">
        <v>194</v>
      </c>
      <c r="D43" s="64"/>
      <c r="E43" s="64">
        <f t="shared" si="1"/>
        <v>194</v>
      </c>
      <c r="F43" s="64">
        <v>44</v>
      </c>
    </row>
    <row r="44" spans="2:6" ht="15">
      <c r="B44" s="26" t="s">
        <v>19</v>
      </c>
      <c r="C44" s="63">
        <v>43</v>
      </c>
      <c r="D44" s="63"/>
      <c r="E44" s="63">
        <f>C44+D44</f>
        <v>43</v>
      </c>
      <c r="F44" s="63">
        <f>E44*2.6*186*365/1000/1000</f>
        <v>7.590102</v>
      </c>
    </row>
    <row r="45" spans="2:6" ht="15">
      <c r="B45" s="29" t="s">
        <v>34</v>
      </c>
      <c r="C45" s="65">
        <f>SUM(C30:C44)</f>
        <v>5820</v>
      </c>
      <c r="D45" s="65">
        <f>SUM(D30:D44)</f>
        <v>4075</v>
      </c>
      <c r="E45" s="65">
        <f>C45+D45</f>
        <v>9895</v>
      </c>
      <c r="F45" s="65">
        <f>SUM(F30:F44)</f>
        <v>2461.2109740000005</v>
      </c>
    </row>
  </sheetData>
  <sheetProtection/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Saray Aguinaga Alzarte</cp:lastModifiedBy>
  <cp:lastPrinted>2014-06-02T11:48:17Z</cp:lastPrinted>
  <dcterms:created xsi:type="dcterms:W3CDTF">2007-05-30T08:46:42Z</dcterms:created>
  <dcterms:modified xsi:type="dcterms:W3CDTF">2018-10-03T12:17:37Z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